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4"/>
  </bookViews>
  <sheets>
    <sheet name="Расчеты параметров" sheetId="1" r:id="rId1"/>
    <sheet name="Параметры" sheetId="2" r:id="rId2"/>
    <sheet name="ИБР" sheetId="3" r:id="rId3"/>
    <sheet name="ИНП" sheetId="4" r:id="rId4"/>
    <sheet name="Итоговая" sheetId="5" r:id="rId5"/>
  </sheets>
  <definedNames>
    <definedName name="_xlnm.Print_Titles" localSheetId="2">'ИБР'!$A:$A</definedName>
    <definedName name="_xlnm.Print_Titles" localSheetId="3">'ИНП'!$A:$A</definedName>
    <definedName name="_xlnm.Print_Area" localSheetId="2">'ИБР'!$A$3:$Q$18</definedName>
    <definedName name="_xlnm.Print_Area" localSheetId="4">'Итоговая'!$B$1:$AF$49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м.б + звероферма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межселенная территория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5-НДФЛ на сайте налоговой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 5-МН сайт фед налоговой службы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gadgibekovanv</author>
    <author> </author>
  </authors>
  <commentList>
    <comment ref="O4" authorId="0">
      <text>
        <r>
          <rPr>
            <b/>
            <sz val="8"/>
            <rFont val="Tahoma"/>
            <family val="2"/>
          </rPr>
          <t>gadgibekovanv:</t>
        </r>
        <r>
          <rPr>
            <sz val="8"/>
            <rFont val="Tahoma"/>
            <family val="2"/>
          </rPr>
          <t xml:space="preserve">
10 % от доходов
</t>
        </r>
      </text>
    </comment>
    <comment ref="T17" authorId="0">
      <text>
        <r>
          <rPr>
            <b/>
            <sz val="8"/>
            <rFont val="Tahoma"/>
            <family val="2"/>
          </rPr>
          <t>gadgibekovanv:</t>
        </r>
        <r>
          <rPr>
            <sz val="8"/>
            <rFont val="Tahoma"/>
            <family val="2"/>
          </rPr>
          <t xml:space="preserve">
излучинск</t>
        </r>
      </text>
    </comment>
    <comment ref="T34" authorId="0">
      <text>
        <r>
          <rPr>
            <b/>
            <sz val="8"/>
            <rFont val="Tahoma"/>
            <family val="2"/>
          </rPr>
          <t>gadgibekovanv:</t>
        </r>
        <r>
          <rPr>
            <sz val="8"/>
            <rFont val="Tahoma"/>
            <family val="2"/>
          </rPr>
          <t xml:space="preserve">
излучинск
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субвенция</t>
        </r>
      </text>
    </comment>
    <comment ref="K1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субсидия</t>
        </r>
      </text>
    </comment>
  </commentList>
</comments>
</file>

<file path=xl/sharedStrings.xml><?xml version="1.0" encoding="utf-8"?>
<sst xmlns="http://schemas.openxmlformats.org/spreadsheetml/2006/main" count="171" uniqueCount="115">
  <si>
    <t>Муниципальные образования</t>
  </si>
  <si>
    <t>Численность населения (чел.)</t>
  </si>
  <si>
    <t>ИБР</t>
  </si>
  <si>
    <t>ИНП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</si>
  <si>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</si>
  <si>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</si>
  <si>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</si>
  <si>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</si>
  <si>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</si>
  <si>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</si>
  <si>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</si>
  <si>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</si>
  <si>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Район</t>
  </si>
  <si>
    <t>Итого по поселениям</t>
  </si>
  <si>
    <t>Итого</t>
  </si>
  <si>
    <t>Земельный налог</t>
  </si>
  <si>
    <t>Налог на имущество физических лиц</t>
  </si>
  <si>
    <t>2 часть дотации, тыс. руб.</t>
  </si>
  <si>
    <t>1 часть дотации, тыс. руб.</t>
  </si>
  <si>
    <t>Уровень расчетной бюджетной обеспеченности, БО</t>
  </si>
  <si>
    <t>Дефицит</t>
  </si>
  <si>
    <t>Расходы(с учетом делегирования полномочий)</t>
  </si>
  <si>
    <t>Размер дотации методом прямого счета</t>
  </si>
  <si>
    <t>Дотация на сбалансированность</t>
  </si>
  <si>
    <t>Доходы всего, тыс. руб.</t>
  </si>
  <si>
    <t>1 часть дотации Д(1), тыс. руб.</t>
  </si>
  <si>
    <t>Налоговый потенциал (НП)</t>
  </si>
  <si>
    <t>Индекс налогового потенциала (ИНП)</t>
  </si>
  <si>
    <t>2 часть дотации Д(2), тыс. руб.</t>
  </si>
  <si>
    <t>Межбюджетные трансферты бюджетам поселений</t>
  </si>
  <si>
    <t>Иные межбюджетные трансферты (на исполнение делегированных полномочий)</t>
  </si>
  <si>
    <t>Всего, тыс. руб.</t>
  </si>
  <si>
    <t xml:space="preserve">В колонках с зеленым цветом заголовка проставлены формулы, все расчитывается автоматически. </t>
  </si>
  <si>
    <t>Показатели голубого цвета по данным отдела доходов от 11.06.2010, 23.06.2010</t>
  </si>
  <si>
    <t>Доходы по данным отдела доходов от 26.08.2010</t>
  </si>
  <si>
    <t>Численность по данным комитета информационного мониторинга от 26.05.2010, тарифы по данным отдела цен от 30.08.2010</t>
  </si>
  <si>
    <t>Уровень расчетной бюджетной обеспеченности после 1 части дотации, БО</t>
  </si>
  <si>
    <t>Уровень расчетной бюджетной обеспеченности после 1и 2 частей дотации, БО</t>
  </si>
  <si>
    <t>Иные МБТ (на исполн. делегир.полномочий)</t>
  </si>
  <si>
    <t>ИБРn = Кстоимn * Кстрn * Н / SUM (Кстоимn * Кстрn * Нn),</t>
  </si>
  <si>
    <t>Кстоимn = q1 * Кзпn + q2 * Ккуn +1 – q1 – q2</t>
  </si>
  <si>
    <t xml:space="preserve">            2
q 0 и ∑q ≤1. 
            1
</t>
  </si>
  <si>
    <t>Кзпn = (1+0,25 * УВСНn) / (1+0,25 * УВСН),</t>
  </si>
  <si>
    <t>Ккуn = 0,2 * Тводn / Твод + 0,65 * Ттеплn / Ттепл + 0,15 * Тэлn / Тэл,</t>
  </si>
  <si>
    <t>Кстрn =a1 * Кмn + a2 * Кжфn +a3 * Кдиспn,</t>
  </si>
  <si>
    <t xml:space="preserve">            3           
a 0 и ∑a=1.
            1
</t>
  </si>
  <si>
    <r>
      <t>К</t>
    </r>
    <r>
      <rPr>
        <vertAlign val="superscript"/>
        <sz val="14"/>
        <rFont val="Times New Roman"/>
        <family val="1"/>
      </rPr>
      <t>м</t>
    </r>
    <r>
      <rPr>
        <vertAlign val="subscript"/>
        <sz val="14"/>
        <rFont val="Times New Roman"/>
        <family val="1"/>
      </rPr>
      <t>n</t>
    </r>
    <r>
      <rPr>
        <sz val="14"/>
        <rFont val="Times New Roman"/>
        <family val="1"/>
      </rPr>
      <t xml:space="preserve"> = c + (1 – c) * Н</t>
    </r>
    <r>
      <rPr>
        <vertAlign val="superscript"/>
        <sz val="14"/>
        <rFont val="Times New Roman"/>
        <family val="1"/>
      </rPr>
      <t>ср</t>
    </r>
    <r>
      <rPr>
        <sz val="14"/>
        <rFont val="Times New Roman"/>
        <family val="1"/>
      </rPr>
      <t xml:space="preserve"> / Н</t>
    </r>
    <r>
      <rPr>
        <vertAlign val="subscript"/>
        <sz val="14"/>
        <rFont val="Times New Roman"/>
        <family val="1"/>
      </rPr>
      <t>n</t>
    </r>
    <r>
      <rPr>
        <sz val="14"/>
        <rFont val="Times New Roman"/>
        <family val="1"/>
      </rPr>
      <t xml:space="preserve">, </t>
    </r>
  </si>
  <si>
    <t>Кжфn = (Пжфn / Нn) / (Пжф / Н),</t>
  </si>
  <si>
    <t>Кдиспn =(1 + Н500n/Нn)/(1 + Н500/Н),</t>
  </si>
  <si>
    <r>
      <t>Экономически обоснованный тариф на водоснабжение (Т</t>
    </r>
    <r>
      <rPr>
        <b/>
        <sz val="10"/>
        <rFont val="Times New Roman"/>
        <family val="1"/>
      </rPr>
      <t>вод</t>
    </r>
    <r>
      <rPr>
        <b/>
        <sz val="10"/>
        <rFont val="Arial"/>
        <family val="2"/>
      </rPr>
      <t>)</t>
    </r>
  </si>
  <si>
    <r>
      <t xml:space="preserve">Экономически обоснованный тариф на отопление (Т </t>
    </r>
    <r>
      <rPr>
        <b/>
        <sz val="10"/>
        <rFont val="Times New Roman"/>
        <family val="1"/>
      </rPr>
      <t>тепл</t>
    </r>
    <r>
      <rPr>
        <b/>
        <sz val="10"/>
        <rFont val="Arial"/>
        <family val="2"/>
      </rPr>
      <t>)</t>
    </r>
  </si>
  <si>
    <r>
      <t xml:space="preserve">Экономически обоснованный тариф на электроэнергию (Т </t>
    </r>
    <r>
      <rPr>
        <b/>
        <sz val="10"/>
        <rFont val="Times New Roman"/>
        <family val="1"/>
      </rPr>
      <t>эл</t>
    </r>
    <r>
      <rPr>
        <b/>
        <sz val="10"/>
        <rFont val="Arial"/>
        <family val="2"/>
      </rPr>
      <t>)</t>
    </r>
  </si>
  <si>
    <t>Коэффициент стоимости предоставления коммунальных услуг (К ку)</t>
  </si>
  <si>
    <t>Коэффициент заработной платы (К зп)</t>
  </si>
  <si>
    <t>Доля расходов на муниципальное управление и организацию услуг в области культуры (а1)</t>
  </si>
  <si>
    <t>Весовой коэффициент (с)</t>
  </si>
  <si>
    <r>
      <t>Коэффициент масштаба (</t>
    </r>
    <r>
      <rPr>
        <b/>
        <sz val="10"/>
        <rFont val="Times New Roman"/>
        <family val="1"/>
      </rPr>
      <t>К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м</t>
    </r>
    <r>
      <rPr>
        <b/>
        <sz val="10"/>
        <rFont val="Arial"/>
        <family val="2"/>
      </rPr>
      <t>)</t>
    </r>
  </si>
  <si>
    <t>Доля расходов на содержание муниципального жилого фонда (а2)</t>
  </si>
  <si>
    <t>Доля других видов расходов (а 3)</t>
  </si>
  <si>
    <t>Площадь жилого фонда Пжф)</t>
  </si>
  <si>
    <t>Коэффициент дифференциации расходов на содержание жилого фонда (Кжф)</t>
  </si>
  <si>
    <t>Численность населения проживающего в сельск.насел.пунктах с численностью населения не более 500 чел. (Н 500)</t>
  </si>
  <si>
    <r>
      <t>Коэффициент дисперсности расселения (</t>
    </r>
    <r>
      <rPr>
        <b/>
        <sz val="10"/>
        <rFont val="Times New Roman"/>
        <family val="1"/>
      </rPr>
      <t>К дисп</t>
    </r>
    <r>
      <rPr>
        <b/>
        <sz val="10"/>
        <rFont val="Arial"/>
        <family val="2"/>
      </rPr>
      <t>)</t>
    </r>
  </si>
  <si>
    <t>Коэффициент структуры потребителей муниципальных услуг (К стр)</t>
  </si>
  <si>
    <t xml:space="preserve"> </t>
  </si>
  <si>
    <t>Расчетный удельный вес расходов на оплату труда и начисления на выплаты по оплате труда ( q1)</t>
  </si>
  <si>
    <t>Расчетный удельный вес расходов на коммунальные услуги ( q2)</t>
  </si>
  <si>
    <t>Коэффициент стоимости предоставления муниципальных услуг (К стоим)</t>
  </si>
  <si>
    <t>Налоговый потенциал по налогу на доходы физических лиц (НП ндфл)</t>
  </si>
  <si>
    <t>Налоговый потенциал по налогу на имущество физических лиц (НП имущ.)</t>
  </si>
  <si>
    <t>Налоговый потенциал по земельному налогу (НП зем.нал.)</t>
  </si>
  <si>
    <t>Налоговый потенциал по налогу на доходы физических лиц  за отчетный период(НП ндфл отч.)</t>
  </si>
  <si>
    <t>Налоговый потенциал по земельному налогу за отчетный период(НП зем.нал. отч.)</t>
  </si>
  <si>
    <t>Налоговый потенциал по налогу на имущество физических лиц  за отчетный период(НП имущ. отч.)</t>
  </si>
  <si>
    <t>Объем средств, необходимых для доведения бюджетной обеспеченности поселений до установленного уровня (Т), тыс.руб.</t>
  </si>
  <si>
    <t>Уровень расчетной бюджетной обеспеченности, установленный в качестве критерия выравнивания расчетной бюджетной обеспеченности (БО кр), тыс.руб.</t>
  </si>
  <si>
    <t>Общий объем дотаций на выравнивание бюджетной обеспеченности (Д)</t>
  </si>
  <si>
    <t>Удельные веса составляющих коэффициента стоимости предоставления муниципальных услуг, %</t>
  </si>
  <si>
    <t>Удельные веса включенных в репрзентативную систему расходов (%)</t>
  </si>
  <si>
    <t>Численность сельского населения</t>
  </si>
  <si>
    <t>Налог на доходы физических лиц, прогноз</t>
  </si>
  <si>
    <t>Прогноз налоговых доходов поселений</t>
  </si>
  <si>
    <t>норматив</t>
  </si>
  <si>
    <t>доп. Коэф-ты</t>
  </si>
  <si>
    <t>ст.211</t>
  </si>
  <si>
    <t>ст.213</t>
  </si>
  <si>
    <t>ст. 223</t>
  </si>
  <si>
    <t>Всего расходы без ст. 251 и субвенций</t>
  </si>
  <si>
    <t>разделы 0102,0103,0104,0800</t>
  </si>
  <si>
    <t>раздел 0501</t>
  </si>
  <si>
    <t>Показатели</t>
  </si>
  <si>
    <t>Доходы всего</t>
  </si>
  <si>
    <t>1 часть дотации</t>
  </si>
  <si>
    <t>2 часть дотации</t>
  </si>
  <si>
    <t>а=а1+а2+а3=1</t>
  </si>
  <si>
    <t>Межбюджетные трансферты</t>
  </si>
  <si>
    <t>ВСЕГО</t>
  </si>
  <si>
    <t xml:space="preserve">Расходы (с учетом делегированных полномочий) </t>
  </si>
  <si>
    <t>Удельный вес сельского населения (УВСН)</t>
  </si>
  <si>
    <t xml:space="preserve">Всего делегир. </t>
  </si>
  <si>
    <t>Объем Районного фонда финансовой поддержки поселений</t>
  </si>
  <si>
    <t>Разница в оценках, тыс.руб.</t>
  </si>
  <si>
    <t>Утверждаемый объем РФФПП(1+2 дотации на выравнивание), тыс. руб.</t>
  </si>
  <si>
    <t>Установленный процент</t>
  </si>
  <si>
    <t>Оценка суммарных расходных потребностей послений, тыс. руб.</t>
  </si>
  <si>
    <t>Оценка суммарных доходных возможностей поселений, тыс. руб.</t>
  </si>
  <si>
    <t>Делегированные Излучинска за счет собственных средств поселения</t>
  </si>
  <si>
    <t>Иные МБТ (дорожные фонды)</t>
  </si>
  <si>
    <t>Параметры распределения трансфертов МО на 2016 год</t>
  </si>
  <si>
    <t xml:space="preserve">Расчеты индексов бюджетных расходов поселений на 2016 год </t>
  </si>
  <si>
    <t xml:space="preserve">Расчеты индексов налоговых потенциалов поселений на 2016 год </t>
  </si>
  <si>
    <t>Расчет трансфертов  на 2016 год</t>
  </si>
  <si>
    <t>??</t>
  </si>
  <si>
    <t>Исполнено за 2014 год</t>
  </si>
  <si>
    <t>Дотация на сбалансированность, иные мбт по дор хоз-ву (на решение вопросов местного значения поселения, передаваемых району)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</si>
</sst>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  <numFmt numFmtId="196" formatCode="#,##0.00000"/>
    <numFmt numFmtId="197" formatCode="_(* #,##0.0_);_(* \(#,##0.0\);_(* &quot;-&quot;??_);_(@_)"/>
    <numFmt numFmtId="198" formatCode="0.0000000000"/>
    <numFmt numFmtId="199" formatCode="0.00000000000"/>
    <numFmt numFmtId="200" formatCode="_-* #,##0.0_р_._-;\-* #,##0.0_р_._-;_-* &quot;-&quot;?_р_._-;_-@_-"/>
  </numFmts>
  <fonts count="8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 Cyr"/>
      <family val="0"/>
    </font>
    <font>
      <sz val="12"/>
      <color indexed="60"/>
      <name val="Arial Cyr"/>
      <family val="0"/>
    </font>
    <font>
      <b/>
      <sz val="12"/>
      <color indexed="36"/>
      <name val="Times New Roman"/>
      <family val="1"/>
    </font>
    <font>
      <b/>
      <sz val="12"/>
      <color indexed="36"/>
      <name val="Arial Cyr"/>
      <family val="0"/>
    </font>
    <font>
      <b/>
      <sz val="12"/>
      <color indexed="57"/>
      <name val="Arial Cyr"/>
      <family val="0"/>
    </font>
    <font>
      <b/>
      <sz val="12"/>
      <color indexed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 Cyr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79" fontId="0" fillId="0" borderId="10" xfId="63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10" xfId="63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167" fontId="1" fillId="0" borderId="10" xfId="6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6" fontId="1" fillId="0" borderId="12" xfId="6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167" fontId="2" fillId="0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right"/>
    </xf>
    <xf numFmtId="170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10" xfId="63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3" fontId="0" fillId="0" borderId="10" xfId="63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77" fillId="0" borderId="10" xfId="0" applyNumberFormat="1" applyFont="1" applyFill="1" applyBorder="1" applyAlignment="1">
      <alignment/>
    </xf>
    <xf numFmtId="3" fontId="77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164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9" fillId="0" borderId="14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9" fillId="0" borderId="0" xfId="33" applyFont="1" applyAlignment="1">
      <alignment horizontal="center"/>
      <protection/>
    </xf>
    <xf numFmtId="0" fontId="29" fillId="0" borderId="0" xfId="33" applyFont="1">
      <alignment/>
      <protection/>
    </xf>
    <xf numFmtId="0" fontId="30" fillId="0" borderId="0" xfId="33" applyFont="1">
      <alignment/>
      <protection/>
    </xf>
    <xf numFmtId="0" fontId="30" fillId="0" borderId="0" xfId="33" applyFont="1" applyBorder="1" quotePrefix="1">
      <alignment/>
      <protection/>
    </xf>
    <xf numFmtId="0" fontId="32" fillId="0" borderId="0" xfId="33" applyFont="1">
      <alignment/>
      <protection/>
    </xf>
    <xf numFmtId="0" fontId="33" fillId="0" borderId="0" xfId="33" applyFont="1" applyFill="1">
      <alignment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2" fillId="0" borderId="10" xfId="63" applyNumberFormat="1" applyFont="1" applyFill="1" applyBorder="1" applyAlignment="1">
      <alignment horizontal="center" vertical="center" wrapText="1"/>
    </xf>
    <xf numFmtId="176" fontId="7" fillId="0" borderId="10" xfId="63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0" fontId="2" fillId="0" borderId="10" xfId="63" applyNumberFormat="1" applyFont="1" applyFill="1" applyBorder="1" applyAlignment="1">
      <alignment horizontal="center" vertical="center" wrapText="1"/>
    </xf>
    <xf numFmtId="10" fontId="7" fillId="0" borderId="10" xfId="63" applyNumberFormat="1" applyFont="1" applyFill="1" applyBorder="1" applyAlignment="1">
      <alignment horizontal="center" vertical="center" wrapText="1"/>
    </xf>
    <xf numFmtId="178" fontId="0" fillId="0" borderId="10" xfId="63" applyNumberFormat="1" applyFont="1" applyFill="1" applyBorder="1" applyAlignment="1">
      <alignment horizontal="right"/>
    </xf>
    <xf numFmtId="164" fontId="14" fillId="0" borderId="10" xfId="63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4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56" applyFont="1" applyFill="1" applyBorder="1" applyAlignment="1">
      <alignment vertical="center" wrapText="1"/>
      <protection/>
    </xf>
    <xf numFmtId="0" fontId="30" fillId="0" borderId="10" xfId="33" applyFont="1" applyFill="1" applyBorder="1" applyAlignment="1" quotePrefix="1">
      <alignment horizontal="left"/>
      <protection/>
    </xf>
    <xf numFmtId="0" fontId="30" fillId="0" borderId="10" xfId="33" applyFont="1" applyFill="1" applyBorder="1" applyAlignment="1" quotePrefix="1">
      <alignment horizontal="left" wrapText="1"/>
      <protection/>
    </xf>
    <xf numFmtId="0" fontId="30" fillId="0" borderId="10" xfId="33" applyFont="1" applyFill="1" applyBorder="1">
      <alignment/>
      <protection/>
    </xf>
    <xf numFmtId="200" fontId="0" fillId="0" borderId="0" xfId="0" applyNumberFormat="1" applyFill="1" applyAlignment="1">
      <alignment/>
    </xf>
    <xf numFmtId="197" fontId="1" fillId="0" borderId="10" xfId="63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/>
    </xf>
    <xf numFmtId="197" fontId="38" fillId="0" borderId="0" xfId="63" applyNumberFormat="1" applyFont="1" applyFill="1" applyBorder="1" applyAlignment="1">
      <alignment horizontal="center" vertical="center" wrapText="1"/>
    </xf>
    <xf numFmtId="171" fontId="11" fillId="0" borderId="21" xfId="0" applyNumberFormat="1" applyFont="1" applyFill="1" applyBorder="1" applyAlignment="1">
      <alignment horizontal="right"/>
    </xf>
    <xf numFmtId="168" fontId="1" fillId="0" borderId="10" xfId="60" applyNumberFormat="1" applyFont="1" applyFill="1" applyBorder="1" applyAlignment="1">
      <alignment/>
    </xf>
    <xf numFmtId="171" fontId="12" fillId="0" borderId="22" xfId="0" applyNumberFormat="1" applyFont="1" applyFill="1" applyBorder="1" applyAlignment="1">
      <alignment horizontal="right"/>
    </xf>
    <xf numFmtId="168" fontId="1" fillId="0" borderId="12" xfId="60" applyNumberFormat="1" applyFont="1" applyFill="1" applyBorder="1" applyAlignment="1">
      <alignment/>
    </xf>
    <xf numFmtId="0" fontId="30" fillId="0" borderId="10" xfId="33" applyFont="1" applyFill="1" applyBorder="1" applyAlignment="1">
      <alignment horizontal="left"/>
      <protection/>
    </xf>
    <xf numFmtId="0" fontId="78" fillId="0" borderId="10" xfId="0" applyFont="1" applyFill="1" applyBorder="1" applyAlignment="1">
      <alignment wrapText="1"/>
    </xf>
    <xf numFmtId="0" fontId="33" fillId="0" borderId="10" xfId="33" applyFont="1" applyFill="1" applyBorder="1" applyAlignment="1">
      <alignment horizontal="left"/>
      <protection/>
    </xf>
    <xf numFmtId="2" fontId="40" fillId="0" borderId="10" xfId="6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right"/>
    </xf>
    <xf numFmtId="2" fontId="40" fillId="0" borderId="10" xfId="33" applyNumberFormat="1" applyFont="1" applyFill="1" applyBorder="1">
      <alignment/>
      <protection/>
    </xf>
    <xf numFmtId="164" fontId="39" fillId="0" borderId="10" xfId="33" applyNumberFormat="1" applyFont="1" applyFill="1" applyBorder="1" applyAlignment="1">
      <alignment vertical="top"/>
      <protection/>
    </xf>
    <xf numFmtId="164" fontId="40" fillId="0" borderId="10" xfId="33" applyNumberFormat="1" applyFont="1" applyFill="1" applyBorder="1">
      <alignment/>
      <protection/>
    </xf>
    <xf numFmtId="0" fontId="39" fillId="0" borderId="10" xfId="33" applyFont="1" applyFill="1" applyBorder="1">
      <alignment/>
      <protection/>
    </xf>
    <xf numFmtId="164" fontId="39" fillId="0" borderId="10" xfId="33" applyNumberFormat="1" applyFont="1" applyFill="1" applyBorder="1" applyAlignment="1">
      <alignment horizontal="right" vertical="center"/>
      <protection/>
    </xf>
    <xf numFmtId="3" fontId="39" fillId="0" borderId="10" xfId="33" applyNumberFormat="1" applyFont="1" applyFill="1" applyBorder="1" applyAlignment="1">
      <alignment horizontal="right" vertical="center"/>
      <protection/>
    </xf>
    <xf numFmtId="3" fontId="39" fillId="33" borderId="10" xfId="33" applyNumberFormat="1" applyFont="1" applyFill="1" applyBorder="1" applyAlignment="1">
      <alignment horizontal="right" vertical="center"/>
      <protection/>
    </xf>
    <xf numFmtId="164" fontId="39" fillId="0" borderId="10" xfId="33" applyNumberFormat="1" applyFont="1" applyFill="1" applyBorder="1">
      <alignment/>
      <protection/>
    </xf>
    <xf numFmtId="4" fontId="1" fillId="0" borderId="10" xfId="36" applyNumberFormat="1" applyFont="1" applyFill="1" applyBorder="1">
      <alignment/>
      <protection/>
    </xf>
    <xf numFmtId="4" fontId="2" fillId="0" borderId="10" xfId="36" applyNumberFormat="1" applyFont="1" applyFill="1" applyBorder="1">
      <alignment/>
      <protection/>
    </xf>
    <xf numFmtId="178" fontId="14" fillId="0" borderId="10" xfId="63" applyNumberFormat="1" applyFont="1" applyFill="1" applyBorder="1" applyAlignment="1">
      <alignment horizontal="right"/>
    </xf>
    <xf numFmtId="4" fontId="39" fillId="0" borderId="10" xfId="33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197" fontId="1" fillId="0" borderId="16" xfId="63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/>
    </xf>
    <xf numFmtId="197" fontId="1" fillId="0" borderId="10" xfId="63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9" fillId="0" borderId="0" xfId="33" applyFont="1" applyAlignment="1">
      <alignment horizontal="center"/>
      <protection/>
    </xf>
    <xf numFmtId="3" fontId="31" fillId="0" borderId="10" xfId="33" applyNumberFormat="1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3" fillId="0" borderId="10" xfId="56" applyFont="1" applyFill="1" applyBorder="1" applyAlignment="1">
      <alignment vertical="center" wrapText="1"/>
      <protection/>
    </xf>
    <xf numFmtId="0" fontId="13" fillId="0" borderId="10" xfId="3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3" fontId="1" fillId="0" borderId="21" xfId="34" applyNumberFormat="1" applyFont="1" applyFill="1" applyBorder="1">
      <alignment/>
      <protection/>
    </xf>
    <xf numFmtId="3" fontId="1" fillId="0" borderId="10" xfId="36" applyNumberFormat="1" applyFont="1" applyFill="1" applyBorder="1">
      <alignment/>
      <protection/>
    </xf>
    <xf numFmtId="4" fontId="30" fillId="0" borderId="10" xfId="36" applyNumberFormat="1" applyFont="1" applyFill="1" applyBorder="1">
      <alignment/>
      <protection/>
    </xf>
    <xf numFmtId="3" fontId="2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176" fontId="2" fillId="0" borderId="10" xfId="63" applyNumberFormat="1" applyFont="1" applyFill="1" applyBorder="1" applyAlignment="1">
      <alignment horizontal="center" vertical="center" wrapText="1"/>
    </xf>
    <xf numFmtId="176" fontId="7" fillId="0" borderId="10" xfId="63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42" fillId="0" borderId="10" xfId="35" applyNumberFormat="1" applyFont="1" applyFill="1" applyBorder="1" applyAlignment="1">
      <alignment horizontal="right"/>
      <protection/>
    </xf>
    <xf numFmtId="3" fontId="37" fillId="0" borderId="21" xfId="34" applyNumberFormat="1" applyFont="1" applyFill="1" applyBorder="1" applyAlignment="1">
      <alignment horizontal="right"/>
      <protection/>
    </xf>
    <xf numFmtId="187" fontId="14" fillId="0" borderId="10" xfId="63" applyNumberFormat="1" applyFont="1" applyFill="1" applyBorder="1" applyAlignment="1">
      <alignment horizontal="right"/>
    </xf>
    <xf numFmtId="179" fontId="0" fillId="0" borderId="10" xfId="63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3" fontId="37" fillId="0" borderId="21" xfId="34" applyNumberFormat="1" applyFont="1" applyFill="1" applyBorder="1">
      <alignment/>
      <protection/>
    </xf>
    <xf numFmtId="164" fontId="0" fillId="0" borderId="10" xfId="0" applyNumberFormat="1" applyFill="1" applyBorder="1" applyAlignment="1">
      <alignment/>
    </xf>
    <xf numFmtId="3" fontId="14" fillId="0" borderId="21" xfId="63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3" fontId="0" fillId="0" borderId="21" xfId="63" applyNumberFormat="1" applyFont="1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3" fontId="0" fillId="0" borderId="10" xfId="63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wrapText="1"/>
    </xf>
    <xf numFmtId="164" fontId="0" fillId="0" borderId="14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8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4" fontId="1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Normal_Regional Data for IGR" xfId="35"/>
    <cellStyle name="Normal_ФФПМР_ИБР_Ставрополь_2006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Рассчеты МБО ХМАО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714375</xdr:colOff>
      <xdr:row>21</xdr:row>
      <xdr:rowOff>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7172325" y="5581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0</xdr:colOff>
      <xdr:row>24</xdr:row>
      <xdr:rowOff>19050</xdr:rowOff>
    </xdr:from>
    <xdr:to>
      <xdr:col>9</xdr:col>
      <xdr:colOff>133350</xdr:colOff>
      <xdr:row>25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48525" y="55816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714375</xdr:colOff>
      <xdr:row>21</xdr:row>
      <xdr:rowOff>0</xdr:rowOff>
    </xdr:from>
    <xdr:ext cx="219075" cy="257175"/>
    <xdr:sp>
      <xdr:nvSpPr>
        <xdr:cNvPr id="3" name="TextBox 3"/>
        <xdr:cNvSpPr txBox="1">
          <a:spLocks noChangeArrowheads="1"/>
        </xdr:cNvSpPr>
      </xdr:nvSpPr>
      <xdr:spPr>
        <a:xfrm>
          <a:off x="7172325" y="5581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0</xdr:colOff>
      <xdr:row>21</xdr:row>
      <xdr:rowOff>0</xdr:rowOff>
    </xdr:from>
    <xdr:to>
      <xdr:col>9</xdr:col>
      <xdr:colOff>133350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48525" y="55816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375" style="11" customWidth="1"/>
    <col min="2" max="2" width="16.125" style="11" customWidth="1"/>
    <col min="3" max="4" width="9.125" style="11" customWidth="1"/>
    <col min="5" max="5" width="15.875" style="11" customWidth="1"/>
    <col min="6" max="16384" width="9.125" style="11" customWidth="1"/>
  </cols>
  <sheetData>
    <row r="1" ht="12.75"/>
    <row r="2" spans="1:2" ht="25.5">
      <c r="A2" s="153" t="s">
        <v>90</v>
      </c>
      <c r="B2" s="154" t="s">
        <v>113</v>
      </c>
    </row>
    <row r="3" spans="1:5" ht="38.25">
      <c r="A3" s="155" t="s">
        <v>65</v>
      </c>
      <c r="B3" s="156">
        <f>(B4+B5)/B9</f>
        <v>0.4669658523572818</v>
      </c>
      <c r="E3" s="157"/>
    </row>
    <row r="4" spans="1:2" ht="15" customHeight="1">
      <c r="A4" s="97" t="s">
        <v>84</v>
      </c>
      <c r="B4" s="158">
        <v>189804332.98</v>
      </c>
    </row>
    <row r="5" spans="1:2" ht="14.25" customHeight="1">
      <c r="A5" s="97" t="s">
        <v>85</v>
      </c>
      <c r="B5" s="158">
        <v>52745098.12</v>
      </c>
    </row>
    <row r="6" spans="1:5" ht="25.5">
      <c r="A6" s="155" t="s">
        <v>66</v>
      </c>
      <c r="B6" s="156">
        <f>B7/B9</f>
        <v>0.04881124129420972</v>
      </c>
      <c r="E6" s="157"/>
    </row>
    <row r="7" spans="1:2" ht="12.75">
      <c r="A7" s="23" t="s">
        <v>86</v>
      </c>
      <c r="B7" s="158">
        <v>25353328.83</v>
      </c>
    </row>
    <row r="8" spans="1:2" ht="12.75">
      <c r="A8" s="23"/>
      <c r="B8" s="158"/>
    </row>
    <row r="9" spans="1:2" ht="14.25" customHeight="1">
      <c r="A9" s="159" t="s">
        <v>87</v>
      </c>
      <c r="B9" s="156">
        <v>519415777.14</v>
      </c>
    </row>
    <row r="10" spans="1:2" ht="12.75">
      <c r="A10" s="23"/>
      <c r="B10" s="158"/>
    </row>
    <row r="11" spans="1:5" ht="25.5">
      <c r="A11" s="160" t="s">
        <v>54</v>
      </c>
      <c r="B11" s="156">
        <f>B12/B9</f>
        <v>0.3758624475270401</v>
      </c>
      <c r="E11" s="157"/>
    </row>
    <row r="12" spans="1:5" ht="15.75" customHeight="1">
      <c r="A12" s="98" t="s">
        <v>88</v>
      </c>
      <c r="B12" s="158">
        <v>195228885.28</v>
      </c>
      <c r="E12" s="161"/>
    </row>
    <row r="13" spans="1:5" ht="27.75" customHeight="1">
      <c r="A13" s="160" t="s">
        <v>57</v>
      </c>
      <c r="B13" s="156">
        <f>B14/B9</f>
        <v>0.10574187933301098</v>
      </c>
      <c r="E13" s="157"/>
    </row>
    <row r="14" spans="1:2" ht="12.75">
      <c r="A14" s="98" t="s">
        <v>89</v>
      </c>
      <c r="B14" s="158">
        <v>54924000.43</v>
      </c>
    </row>
    <row r="15" spans="1:5" ht="12.75">
      <c r="A15" s="162" t="s">
        <v>58</v>
      </c>
      <c r="B15" s="156">
        <f>B16/B9</f>
        <v>0.5183956731399489</v>
      </c>
      <c r="E15" s="157"/>
    </row>
    <row r="16" spans="1:2" ht="12.75">
      <c r="A16" s="99"/>
      <c r="B16" s="158">
        <v>269262891.43</v>
      </c>
    </row>
    <row r="17" spans="1:2" ht="12.75">
      <c r="A17" s="163" t="s">
        <v>55</v>
      </c>
      <c r="B17" s="158"/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B20" sqref="B20"/>
    </sheetView>
  </sheetViews>
  <sheetFormatPr defaultColWidth="56.375" defaultRowHeight="12.75"/>
  <cols>
    <col min="1" max="1" width="58.375" style="74" customWidth="1"/>
    <col min="2" max="16384" width="56.375" style="74" customWidth="1"/>
  </cols>
  <sheetData>
    <row r="1" spans="1:256" ht="18.75">
      <c r="A1" s="134" t="s">
        <v>108</v>
      </c>
      <c r="B1" s="134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ht="12.75">
      <c r="B2" s="75"/>
    </row>
    <row r="3" spans="1:2" ht="15.75">
      <c r="A3" s="135" t="s">
        <v>100</v>
      </c>
      <c r="B3" s="135"/>
    </row>
    <row r="4" spans="1:256" ht="15.75">
      <c r="A4" s="111" t="s">
        <v>104</v>
      </c>
      <c r="B4" s="117">
        <f>Итоговая!X16</f>
        <v>539252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" ht="15">
      <c r="A5" s="111" t="s">
        <v>105</v>
      </c>
      <c r="B5" s="120">
        <f>Итоговая!W16</f>
        <v>121554</v>
      </c>
    </row>
    <row r="6" spans="1:2" ht="76.5" hidden="1">
      <c r="A6" s="101" t="str">
        <f>"Сокращение (+) / рост (-) объема налоговых доходов бюджетов поселений и ГО в "&amp;$B$3&amp;" году по сравнению с "&amp;$B$3-1&amp;"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руб."</f>
        <v>Сокращение (+) / рост (-) объема налоговых доходов бюджетов поселений и ГО в  году по сравнению с -1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</v>
      </c>
      <c r="B6" s="121">
        <v>0</v>
      </c>
    </row>
    <row r="7" spans="1:2" ht="51" hidden="1">
      <c r="A7" s="101" t="str">
        <f>"Сокращение (-) / рост (+) объема расходных обязательств поселений и ГО в "&amp;$B$3&amp;" году по сравнению с "&amp;$B$3-1&amp;" годом в связи с изменением перечня вопросов местного значения поселений, общего для поселений и городских округов, тыс. руб."</f>
        <v>Сокращение (-) / рост (+) объема расходных обязательств поселений и ГО в  году по сравнению с -1 годом в связи с изменением перечня вопросов местного значения поселений, общего для поселений и городских округов, тыс. руб.</v>
      </c>
      <c r="B7" s="122"/>
    </row>
    <row r="8" spans="1:2" ht="15">
      <c r="A8" s="111" t="s">
        <v>101</v>
      </c>
      <c r="B8" s="123">
        <f>B4-B5</f>
        <v>417698</v>
      </c>
    </row>
    <row r="9" spans="1:256" ht="15">
      <c r="A9" s="113" t="s">
        <v>103</v>
      </c>
      <c r="B9" s="127">
        <f>B10*100/B8</f>
        <v>34.59245961692636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" ht="14.25">
      <c r="A10" s="100" t="s">
        <v>102</v>
      </c>
      <c r="B10" s="118">
        <f>Итоговая!V16</f>
        <v>144492.01197070908</v>
      </c>
    </row>
    <row r="11" spans="1:2" ht="15">
      <c r="A11" s="102" t="s">
        <v>81</v>
      </c>
      <c r="B11" s="119">
        <v>84590</v>
      </c>
    </row>
    <row r="12" spans="1:2" ht="12.75">
      <c r="A12" s="133" t="s">
        <v>77</v>
      </c>
      <c r="B12" s="133"/>
    </row>
    <row r="13" spans="1:2" ht="25.5" customHeight="1">
      <c r="A13" s="112" t="s">
        <v>65</v>
      </c>
      <c r="B13" s="114">
        <f>'Расчеты параметров'!B3</f>
        <v>0.4669658523572818</v>
      </c>
    </row>
    <row r="14" spans="1:2" ht="14.25">
      <c r="A14" s="112" t="s">
        <v>66</v>
      </c>
      <c r="B14" s="114">
        <f>'Расчеты параметров'!B6</f>
        <v>0.04881124129420972</v>
      </c>
    </row>
    <row r="15" spans="1:2" ht="12.75">
      <c r="A15" s="133" t="s">
        <v>78</v>
      </c>
      <c r="B15" s="133"/>
    </row>
    <row r="16" spans="1:2" ht="25.5">
      <c r="A16" s="98" t="s">
        <v>54</v>
      </c>
      <c r="B16" s="115">
        <f>'Расчеты параметров'!B11</f>
        <v>0.3758624475270401</v>
      </c>
    </row>
    <row r="17" spans="1:2" ht="14.25">
      <c r="A17" s="98" t="s">
        <v>57</v>
      </c>
      <c r="B17" s="115">
        <f>'Расчеты параметров'!B13</f>
        <v>0.10574187933301098</v>
      </c>
    </row>
    <row r="18" spans="1:2" ht="14.25">
      <c r="A18" s="99" t="s">
        <v>58</v>
      </c>
      <c r="B18" s="115">
        <f>'Расчеты параметров'!B15</f>
        <v>0.5183956731399489</v>
      </c>
    </row>
    <row r="19" spans="1:2" ht="14.25">
      <c r="A19" s="99" t="s">
        <v>94</v>
      </c>
      <c r="B19" s="115">
        <f>B16+B17+B18</f>
        <v>1</v>
      </c>
    </row>
    <row r="20" spans="1:2" ht="14.25">
      <c r="A20" s="102" t="s">
        <v>55</v>
      </c>
      <c r="B20" s="116">
        <v>0.8</v>
      </c>
    </row>
  </sheetData>
  <sheetProtection/>
  <mergeCells count="4">
    <mergeCell ref="A12:B12"/>
    <mergeCell ref="A15:B15"/>
    <mergeCell ref="A1:B1"/>
    <mergeCell ref="A3:B3"/>
  </mergeCells>
  <dataValidations count="1">
    <dataValidation type="list" allowBlank="1" showInputMessage="1" showErrorMessage="1" sqref="B65480 IN65480">
      <formula1>Субсидии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V41"/>
  <sheetViews>
    <sheetView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3" sqref="A1:IV16384"/>
    </sheetView>
  </sheetViews>
  <sheetFormatPr defaultColWidth="11.875" defaultRowHeight="12.75"/>
  <cols>
    <col min="1" max="1" width="20.875" style="1" customWidth="1"/>
    <col min="2" max="4" width="7.25390625" style="1" customWidth="1"/>
    <col min="5" max="5" width="10.875" style="1" customWidth="1"/>
    <col min="6" max="7" width="9.25390625" style="1" customWidth="1"/>
    <col min="8" max="8" width="12.75390625" style="1" customWidth="1"/>
    <col min="9" max="9" width="10.375" style="1" customWidth="1"/>
    <col min="10" max="10" width="12.75390625" style="1" customWidth="1"/>
    <col min="11" max="11" width="10.25390625" style="1" customWidth="1"/>
    <col min="12" max="12" width="10.375" style="1" customWidth="1"/>
    <col min="13" max="13" width="9.625" style="1" hidden="1" customWidth="1"/>
    <col min="14" max="14" width="11.875" style="1" hidden="1" customWidth="1"/>
    <col min="15" max="16" width="9.625" style="1" hidden="1" customWidth="1"/>
    <col min="17" max="17" width="6.875" style="1" customWidth="1"/>
    <col min="18" max="18" width="9.375" style="1" customWidth="1"/>
    <col min="19" max="19" width="11.625" style="1" customWidth="1"/>
    <col min="20" max="20" width="8.75390625" style="1" customWidth="1"/>
    <col min="21" max="21" width="9.25390625" style="1" customWidth="1"/>
    <col min="22" max="16384" width="11.875" style="1" customWidth="1"/>
  </cols>
  <sheetData>
    <row r="1" ht="12.75"/>
    <row r="2" ht="12.75"/>
    <row r="3" spans="2:22" ht="15.75">
      <c r="B3" s="3" t="s">
        <v>109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1" s="5" customFormat="1" ht="55.5" customHeight="1">
      <c r="A4" s="136" t="s">
        <v>0</v>
      </c>
      <c r="B4" s="164" t="s">
        <v>1</v>
      </c>
      <c r="C4" s="164" t="s">
        <v>79</v>
      </c>
      <c r="D4" s="149" t="s">
        <v>98</v>
      </c>
      <c r="E4" s="164" t="s">
        <v>61</v>
      </c>
      <c r="F4" s="164" t="s">
        <v>62</v>
      </c>
      <c r="G4" s="164" t="s">
        <v>53</v>
      </c>
      <c r="H4" s="164" t="s">
        <v>67</v>
      </c>
      <c r="I4" s="164" t="s">
        <v>49</v>
      </c>
      <c r="J4" s="164" t="s">
        <v>50</v>
      </c>
      <c r="K4" s="164" t="s">
        <v>51</v>
      </c>
      <c r="L4" s="164" t="s">
        <v>52</v>
      </c>
      <c r="M4" s="164" t="s">
        <v>54</v>
      </c>
      <c r="N4" s="164" t="s">
        <v>57</v>
      </c>
      <c r="O4" s="164" t="s">
        <v>58</v>
      </c>
      <c r="P4" s="164" t="s">
        <v>55</v>
      </c>
      <c r="Q4" s="164" t="s">
        <v>56</v>
      </c>
      <c r="R4" s="164" t="s">
        <v>59</v>
      </c>
      <c r="S4" s="164" t="s">
        <v>60</v>
      </c>
      <c r="T4" s="164" t="s">
        <v>63</v>
      </c>
      <c r="U4" s="136" t="s">
        <v>2</v>
      </c>
    </row>
    <row r="5" spans="1:21" ht="55.5" customHeight="1">
      <c r="A5" s="136"/>
      <c r="B5" s="164"/>
      <c r="C5" s="164"/>
      <c r="D5" s="150"/>
      <c r="E5" s="164"/>
      <c r="F5" s="164"/>
      <c r="G5" s="164"/>
      <c r="H5" s="164"/>
      <c r="I5" s="165"/>
      <c r="J5" s="165"/>
      <c r="K5" s="165"/>
      <c r="L5" s="164"/>
      <c r="M5" s="164"/>
      <c r="N5" s="164"/>
      <c r="O5" s="164"/>
      <c r="P5" s="164"/>
      <c r="Q5" s="164"/>
      <c r="R5" s="164"/>
      <c r="S5" s="164"/>
      <c r="T5" s="164"/>
      <c r="U5" s="136"/>
    </row>
    <row r="6" spans="1:21" s="5" customFormat="1" ht="99" customHeight="1">
      <c r="A6" s="136"/>
      <c r="B6" s="164"/>
      <c r="C6" s="164"/>
      <c r="D6" s="151"/>
      <c r="E6" s="164"/>
      <c r="F6" s="164"/>
      <c r="G6" s="164"/>
      <c r="H6" s="164"/>
      <c r="I6" s="165"/>
      <c r="J6" s="165"/>
      <c r="K6" s="165"/>
      <c r="L6" s="164"/>
      <c r="M6" s="164"/>
      <c r="N6" s="164"/>
      <c r="O6" s="164"/>
      <c r="P6" s="164"/>
      <c r="Q6" s="164"/>
      <c r="R6" s="164"/>
      <c r="S6" s="164"/>
      <c r="T6" s="164"/>
      <c r="U6" s="136"/>
    </row>
    <row r="7" spans="1:21" s="5" customFormat="1" ht="15" customHeight="1">
      <c r="A7" s="78" t="s">
        <v>83</v>
      </c>
      <c r="B7" s="62"/>
      <c r="C7" s="62"/>
      <c r="D7" s="62"/>
      <c r="E7" s="62"/>
      <c r="F7" s="62"/>
      <c r="G7" s="62"/>
      <c r="H7" s="62"/>
      <c r="I7" s="80">
        <v>0.2</v>
      </c>
      <c r="J7" s="80">
        <v>0.65</v>
      </c>
      <c r="K7" s="80">
        <v>0.15</v>
      </c>
      <c r="L7" s="62"/>
      <c r="M7" s="62"/>
      <c r="N7" s="62"/>
      <c r="O7" s="62"/>
      <c r="P7" s="62"/>
      <c r="Q7" s="70">
        <f>B16/8</f>
        <v>4439.125</v>
      </c>
      <c r="R7" s="62"/>
      <c r="S7" s="62"/>
      <c r="T7" s="62"/>
      <c r="U7" s="79"/>
    </row>
    <row r="8" spans="1:21" ht="12.75">
      <c r="A8" s="42" t="s">
        <v>4</v>
      </c>
      <c r="B8" s="166">
        <v>19138</v>
      </c>
      <c r="C8" s="167">
        <v>432</v>
      </c>
      <c r="D8" s="124">
        <f>C8/B8</f>
        <v>0.022572891629219355</v>
      </c>
      <c r="E8" s="167">
        <v>432</v>
      </c>
      <c r="F8" s="16">
        <f>(1+E8/B8)/(1+E16/B16)</f>
        <v>0.9760948043336327</v>
      </c>
      <c r="G8" s="16">
        <f>(1+0.25*D8)/(1+0.25*$D$16)</f>
        <v>0.9587041622234423</v>
      </c>
      <c r="H8" s="7">
        <f>Параметры!B13*ИБР!G8+Параметры!B14*ИБР!L8+1-Параметры!B13-Параметры!B14</f>
        <v>0.9759445440143246</v>
      </c>
      <c r="I8" s="10">
        <f>51.04+71.08</f>
        <v>122.12</v>
      </c>
      <c r="J8" s="10">
        <v>1687.59</v>
      </c>
      <c r="K8" s="10">
        <v>5.14</v>
      </c>
      <c r="L8" s="10">
        <f>I7*I8/I16+J7*J8/J16+K7*K8/K16</f>
        <v>0.9022415785172158</v>
      </c>
      <c r="M8" s="10"/>
      <c r="N8" s="10"/>
      <c r="O8" s="10"/>
      <c r="P8" s="10"/>
      <c r="Q8" s="6">
        <f>Параметры!$B$20+(1-Параметры!$B$20)*ИБР!$Q$7/ИБР!B8</f>
        <v>0.846390688682203</v>
      </c>
      <c r="R8" s="168">
        <v>294.5</v>
      </c>
      <c r="S8" s="6">
        <f>(R8/B8)/(R16/B16)</f>
        <v>0.8842755868549365</v>
      </c>
      <c r="T8" s="6">
        <f>Параметры!$B$16*ИБР!Q8+Параметры!$B$17*ИБР!S8+Параметры!$B$18*ИБР!F8</f>
        <v>0.9176347613554724</v>
      </c>
      <c r="U8" s="7">
        <f>H8*T8*$B$16/SUMPRODUCT($H$8:$H$15,$T$8:$T$15,$B$8:$B$15)</f>
        <v>0.887998000747453</v>
      </c>
    </row>
    <row r="9" spans="1:21" ht="14.25" customHeight="1">
      <c r="A9" s="42" t="s">
        <v>5</v>
      </c>
      <c r="B9" s="166">
        <v>10428</v>
      </c>
      <c r="C9" s="167">
        <v>576</v>
      </c>
      <c r="D9" s="124">
        <f aca="true" t="shared" si="0" ref="D9:D16">C9/B9</f>
        <v>0.05523590333716916</v>
      </c>
      <c r="E9" s="167"/>
      <c r="F9" s="16">
        <f>(1+E9/B9)/(1+E16/B16)</f>
        <v>0.9545478980754758</v>
      </c>
      <c r="G9" s="16">
        <f aca="true" t="shared" si="1" ref="G9:G15">(1+0.25*D9)/(1+0.25*$D$16)</f>
        <v>0.9664887732469809</v>
      </c>
      <c r="H9" s="7">
        <f>Параметры!B13*ИБР!G9+Параметры!B14*ИБР!L9+1-Параметры!B13-Параметры!B14</f>
        <v>0.9830552228555591</v>
      </c>
      <c r="I9" s="10">
        <f>70.85+80.84</f>
        <v>151.69</v>
      </c>
      <c r="J9" s="10">
        <v>1760.96</v>
      </c>
      <c r="K9" s="10">
        <v>5.23</v>
      </c>
      <c r="L9" s="10">
        <f>I7*I9/I16+J7*J9/J16+K7*K9/K16</f>
        <v>0.9734450805631736</v>
      </c>
      <c r="M9" s="10"/>
      <c r="N9" s="10"/>
      <c r="O9" s="10"/>
      <c r="P9" s="10"/>
      <c r="Q9" s="6">
        <f>Параметры!$B$20+(1-Параметры!$B$20)*ИБР!$Q$7/ИБР!B9</f>
        <v>0.8851385692366706</v>
      </c>
      <c r="R9" s="168">
        <v>169.1</v>
      </c>
      <c r="S9" s="6">
        <f>(R9/B9)/(R16/B16)</f>
        <v>0.9318402626486074</v>
      </c>
      <c r="T9" s="6">
        <f>Параметры!$B$16*ИБР!Q9+Параметры!$B$17*ИБР!S9+Параметры!$B$18*ИБР!F9</f>
        <v>0.9260583898116674</v>
      </c>
      <c r="U9" s="7">
        <f aca="true" t="shared" si="2" ref="U9:U15">H9*T9*$B$16/SUMPRODUCT($H$8:$H$15,$T$8:$T$15,$B$8:$B$15)</f>
        <v>0.9026788691128674</v>
      </c>
    </row>
    <row r="10" spans="1:21" ht="12.75">
      <c r="A10" s="42" t="s">
        <v>6</v>
      </c>
      <c r="B10" s="166">
        <v>496</v>
      </c>
      <c r="C10" s="167">
        <v>496</v>
      </c>
      <c r="D10" s="124">
        <f t="shared" si="0"/>
        <v>1</v>
      </c>
      <c r="E10" s="167">
        <v>496</v>
      </c>
      <c r="F10" s="16">
        <f>(1+E10/B10)/(1+E16/B16)</f>
        <v>1.9090957961509516</v>
      </c>
      <c r="G10" s="16">
        <f t="shared" si="1"/>
        <v>1.1916554255840328</v>
      </c>
      <c r="H10" s="7">
        <f>Параметры!B13*ИБР!G10+Параметры!B14*ИБР!L10+1-Параметры!B13-Параметры!B14</f>
        <v>1.107125181220126</v>
      </c>
      <c r="I10" s="10">
        <v>149.19</v>
      </c>
      <c r="J10" s="10">
        <v>2922.36</v>
      </c>
      <c r="K10" s="10">
        <v>5.14</v>
      </c>
      <c r="L10" s="10">
        <f>I7*I10/I16+J7*J10/J16+K7*K10/K16</f>
        <v>1.361159470358963</v>
      </c>
      <c r="M10" s="10"/>
      <c r="N10" s="10"/>
      <c r="O10" s="10"/>
      <c r="P10" s="10"/>
      <c r="Q10" s="6">
        <f>Параметры!$B$20+(1-Параметры!$B$20)*ИБР!$Q$7/ИБР!B10</f>
        <v>2.589969758064516</v>
      </c>
      <c r="R10" s="168">
        <v>11.9</v>
      </c>
      <c r="S10" s="6">
        <f>(R10/B10)/(R16/B16)</f>
        <v>1.3786822084768768</v>
      </c>
      <c r="T10" s="6">
        <f>Параметры!$B$16*ИБР!Q10+Параметры!$B$17*ИБР!S10+Параметры!$B$18*ИБР!F10</f>
        <v>2.108923820348795</v>
      </c>
      <c r="U10" s="7">
        <f t="shared" si="2"/>
        <v>2.315125889268552</v>
      </c>
    </row>
    <row r="11" spans="1:21" ht="12.75">
      <c r="A11" s="42" t="s">
        <v>8</v>
      </c>
      <c r="B11" s="166">
        <v>622</v>
      </c>
      <c r="C11" s="167">
        <v>622</v>
      </c>
      <c r="D11" s="124">
        <f t="shared" si="0"/>
        <v>1</v>
      </c>
      <c r="E11" s="167"/>
      <c r="F11" s="16">
        <f>(1+E11/B11)/(1+E16/B16)</f>
        <v>0.9545478980754758</v>
      </c>
      <c r="G11" s="16">
        <f t="shared" si="1"/>
        <v>1.1916554255840328</v>
      </c>
      <c r="H11" s="7">
        <f>Параметры!B13*ИБР!G11+Параметры!B14*ИБР!L11+1-Параметры!B13-Параметры!B14</f>
        <v>1.107125181220126</v>
      </c>
      <c r="I11" s="10">
        <v>149.19</v>
      </c>
      <c r="J11" s="10">
        <v>2922.36</v>
      </c>
      <c r="K11" s="10">
        <v>5.14</v>
      </c>
      <c r="L11" s="10">
        <f>I7*I11/I16+J7*J11/J16+K7*K11/K16</f>
        <v>1.361159470358963</v>
      </c>
      <c r="M11" s="10"/>
      <c r="N11" s="10"/>
      <c r="O11" s="10"/>
      <c r="P11" s="10"/>
      <c r="Q11" s="6">
        <f>Параметры!$B$20+(1-Параметры!$B$20)*ИБР!$Q$7/ИБР!B11</f>
        <v>2.2273713826366555</v>
      </c>
      <c r="R11" s="168">
        <v>14.2</v>
      </c>
      <c r="S11" s="6">
        <f>(R11/B11)/(R16/B16)</f>
        <v>1.3118882610641112</v>
      </c>
      <c r="T11" s="6">
        <f>Параметры!$B$16*ИБР!Q11+Параметры!$B$17*ИБР!S11+Параметры!$B$18*ИБР!F11</f>
        <v>1.4707402897964954</v>
      </c>
      <c r="U11" s="7">
        <f t="shared" si="2"/>
        <v>1.6145433459683025</v>
      </c>
    </row>
    <row r="12" spans="1:21" ht="12.75">
      <c r="A12" s="42" t="s">
        <v>9</v>
      </c>
      <c r="B12" s="166">
        <v>467</v>
      </c>
      <c r="C12" s="167">
        <v>467</v>
      </c>
      <c r="D12" s="124">
        <f t="shared" si="0"/>
        <v>1</v>
      </c>
      <c r="E12" s="167">
        <v>467</v>
      </c>
      <c r="F12" s="16">
        <f>(1+E12/B12)/(1+E16/B16)</f>
        <v>1.9090957961509516</v>
      </c>
      <c r="G12" s="16">
        <f t="shared" si="1"/>
        <v>1.1916554255840328</v>
      </c>
      <c r="H12" s="7">
        <f>Параметры!B13*ИБР!G12+Параметры!B14*ИБР!L12+1-Параметры!B13-Параметры!B14</f>
        <v>1.107125181220126</v>
      </c>
      <c r="I12" s="10">
        <v>149.19</v>
      </c>
      <c r="J12" s="10">
        <v>2922.36</v>
      </c>
      <c r="K12" s="10">
        <v>5.14</v>
      </c>
      <c r="L12" s="10">
        <f>I7*I12/I16+J7*J12/J16+K7*K12/K16</f>
        <v>1.361159470358963</v>
      </c>
      <c r="M12" s="10"/>
      <c r="N12" s="10"/>
      <c r="O12" s="10"/>
      <c r="P12" s="10"/>
      <c r="Q12" s="6">
        <f>Параметры!$B$20+(1-Параметры!$B$20)*ИБР!$Q$7/ИБР!B12</f>
        <v>2.701124197002141</v>
      </c>
      <c r="R12" s="168">
        <v>15.5</v>
      </c>
      <c r="S12" s="6">
        <f>(R12/B12)/(R16/B16)</f>
        <v>1.9072767024940578</v>
      </c>
      <c r="T12" s="6">
        <f>Параметры!$B$16*ИБР!Q12+Параметры!$B$17*ИБР!S12+Параметры!$B$18*ИБР!F12</f>
        <v>2.2065971750238447</v>
      </c>
      <c r="U12" s="7">
        <f t="shared" si="2"/>
        <v>2.4223493507886165</v>
      </c>
    </row>
    <row r="13" spans="1:21" ht="12.75">
      <c r="A13" s="42" t="s">
        <v>10</v>
      </c>
      <c r="B13" s="166">
        <v>592</v>
      </c>
      <c r="C13" s="167">
        <v>592</v>
      </c>
      <c r="D13" s="124">
        <f t="shared" si="0"/>
        <v>1</v>
      </c>
      <c r="E13" s="167"/>
      <c r="F13" s="16">
        <f>(1+E13/B13)/(1+E16/B16)</f>
        <v>0.9545478980754758</v>
      </c>
      <c r="G13" s="16">
        <f t="shared" si="1"/>
        <v>1.1916554255840328</v>
      </c>
      <c r="H13" s="7">
        <f>Параметры!B13*ИБР!G13+Параметры!B14*ИБР!L13+1-Параметры!B13-Параметры!B14</f>
        <v>1.107125181220126</v>
      </c>
      <c r="I13" s="10">
        <v>149.19</v>
      </c>
      <c r="J13" s="10">
        <v>2922.36</v>
      </c>
      <c r="K13" s="10">
        <v>5.14</v>
      </c>
      <c r="L13" s="10">
        <f>I7*I13/I16+J7*J13/J16+K7*K13/K16</f>
        <v>1.361159470358963</v>
      </c>
      <c r="M13" s="10"/>
      <c r="N13" s="10"/>
      <c r="O13" s="10"/>
      <c r="P13" s="10"/>
      <c r="Q13" s="6">
        <f>Параметры!$B$20+(1-Параметры!$B$20)*ИБР!$Q$7/ИБР!B13</f>
        <v>2.2997043918918916</v>
      </c>
      <c r="R13" s="168">
        <v>14.3</v>
      </c>
      <c r="S13" s="6">
        <f>(R13/B13)/(R16/B16)</f>
        <v>1.3880759096475117</v>
      </c>
      <c r="T13" s="6">
        <f>Параметры!$B$16*ИБР!Q13+Параметры!$B$17*ИБР!S13+Параметры!$B$18*ИБР!F13</f>
        <v>1.5059837768353361</v>
      </c>
      <c r="U13" s="7">
        <f t="shared" si="2"/>
        <v>1.6532327990838855</v>
      </c>
    </row>
    <row r="14" spans="1:21" ht="12.75">
      <c r="A14" s="42" t="s">
        <v>7</v>
      </c>
      <c r="B14" s="166">
        <v>1785</v>
      </c>
      <c r="C14" s="167">
        <v>1785</v>
      </c>
      <c r="D14" s="124">
        <f t="shared" si="0"/>
        <v>1</v>
      </c>
      <c r="E14" s="167">
        <v>275</v>
      </c>
      <c r="F14" s="16">
        <f>(1+E14/B14)/(1+E16/B16)</f>
        <v>1.1016070980590924</v>
      </c>
      <c r="G14" s="16">
        <f t="shared" si="1"/>
        <v>1.1916554255840328</v>
      </c>
      <c r="H14" s="7">
        <f>Параметры!B13*ИБР!G14+Параметры!B14*ИБР!L14+1-Параметры!B13-Параметры!B14</f>
        <v>1.107125181220126</v>
      </c>
      <c r="I14" s="10">
        <v>149.19</v>
      </c>
      <c r="J14" s="10">
        <v>2922.36</v>
      </c>
      <c r="K14" s="10">
        <v>5.14</v>
      </c>
      <c r="L14" s="10">
        <f>I7*I14/I16+J7*J14/J16+K7*K14/K16</f>
        <v>1.361159470358963</v>
      </c>
      <c r="M14" s="10"/>
      <c r="N14" s="10"/>
      <c r="O14" s="10"/>
      <c r="P14" s="10"/>
      <c r="Q14" s="6">
        <f>Параметры!$B$20+(1-Параметры!$B$20)*ИБР!$Q$7/ИБР!B14</f>
        <v>1.2973809523809523</v>
      </c>
      <c r="R14" s="168">
        <v>41.2</v>
      </c>
      <c r="S14" s="6">
        <f>(R14/B14)/(R16/B16)</f>
        <v>1.3263492063492064</v>
      </c>
      <c r="T14" s="6">
        <f>Параметры!$B$16*ИБР!Q14+Параметры!$B$17*ИБР!S14+Параметры!$B$18*ИБР!F14</f>
        <v>1.1989557910021686</v>
      </c>
      <c r="U14" s="7">
        <f t="shared" si="2"/>
        <v>1.316184854594936</v>
      </c>
    </row>
    <row r="15" spans="1:21" ht="12.75">
      <c r="A15" s="42" t="s">
        <v>11</v>
      </c>
      <c r="B15" s="166">
        <v>1985</v>
      </c>
      <c r="C15" s="167">
        <v>1985</v>
      </c>
      <c r="D15" s="124">
        <f t="shared" si="0"/>
        <v>1</v>
      </c>
      <c r="E15" s="167">
        <v>21</v>
      </c>
      <c r="F15" s="16">
        <f>(1+E15/B15)/(1+E16/B16)</f>
        <v>0.9646463896923952</v>
      </c>
      <c r="G15" s="16">
        <f t="shared" si="1"/>
        <v>1.1916554255840328</v>
      </c>
      <c r="H15" s="7">
        <f>Параметры!B13*ИБР!G15+Параметры!B14*ИБР!L15+1-Параметры!B13-Параметры!B14</f>
        <v>1.107125181220126</v>
      </c>
      <c r="I15" s="10">
        <v>149.19</v>
      </c>
      <c r="J15" s="10">
        <v>2922.36</v>
      </c>
      <c r="K15" s="10">
        <v>5.14</v>
      </c>
      <c r="L15" s="10">
        <f>I7*I15/I16+J7*J15/J16+K7*K15/K16</f>
        <v>1.361159470358963</v>
      </c>
      <c r="M15" s="10"/>
      <c r="N15" s="10"/>
      <c r="O15" s="10"/>
      <c r="P15" s="10"/>
      <c r="Q15" s="6">
        <f>Параметры!$B$20+(1-Параметры!$B$20)*ИБР!$Q$7/ИБР!B15</f>
        <v>1.2472670025188917</v>
      </c>
      <c r="R15" s="168">
        <v>57.3</v>
      </c>
      <c r="S15" s="6">
        <f>(R15/B15)/(R16/B16)</f>
        <v>1.658796067594336</v>
      </c>
      <c r="T15" s="6">
        <f>Параметры!$B$16*ИБР!Q15+Параметры!$B$17*ИБР!S15+Параметры!$B$18*ИБР!F15</f>
        <v>1.1442735564307096</v>
      </c>
      <c r="U15" s="7">
        <f t="shared" si="2"/>
        <v>1.256156011581297</v>
      </c>
    </row>
    <row r="16" spans="1:21" ht="12.75">
      <c r="A16" s="22" t="s">
        <v>13</v>
      </c>
      <c r="B16" s="169">
        <f>SUM(B8:B15)</f>
        <v>35513</v>
      </c>
      <c r="C16" s="169">
        <f>SUM(C8:C15)</f>
        <v>6955</v>
      </c>
      <c r="D16" s="125">
        <f t="shared" si="0"/>
        <v>0.1958437755188241</v>
      </c>
      <c r="E16" s="170">
        <f>SUM(E8:E15)</f>
        <v>1691</v>
      </c>
      <c r="F16" s="16"/>
      <c r="G16" s="16"/>
      <c r="H16" s="44"/>
      <c r="I16" s="45">
        <f>SUMPRODUCT(I8:I15,$B$8:$B$15)/$B$16</f>
        <v>135.33604060484896</v>
      </c>
      <c r="J16" s="45">
        <f>SUMPRODUCT(J8:J15,$B$8:$B$15)/$B$16</f>
        <v>1915.908631205474</v>
      </c>
      <c r="K16" s="45">
        <f>SUMPRODUCT(K8:K15,$B$8:$B$15)/$B$16</f>
        <v>5.16642750542055</v>
      </c>
      <c r="L16" s="45"/>
      <c r="M16" s="45"/>
      <c r="N16" s="45"/>
      <c r="O16" s="45"/>
      <c r="P16" s="45"/>
      <c r="Q16" s="46"/>
      <c r="R16" s="45">
        <f>SUM(R8:R15)</f>
        <v>618</v>
      </c>
      <c r="S16" s="46"/>
      <c r="T16" s="46"/>
      <c r="U16" s="27"/>
    </row>
    <row r="17" spans="1:21" ht="12.75">
      <c r="A17" s="42" t="s">
        <v>12</v>
      </c>
      <c r="B17" s="171">
        <v>266</v>
      </c>
      <c r="C17" s="171">
        <v>266</v>
      </c>
      <c r="D17" s="107"/>
      <c r="E17" s="172">
        <v>266</v>
      </c>
      <c r="F17" s="108"/>
      <c r="G17" s="16"/>
      <c r="H17" s="7"/>
      <c r="I17" s="6"/>
      <c r="J17" s="10"/>
      <c r="K17" s="10"/>
      <c r="L17" s="6"/>
      <c r="M17" s="6"/>
      <c r="N17" s="6"/>
      <c r="O17" s="6"/>
      <c r="P17" s="6"/>
      <c r="Q17" s="6"/>
      <c r="R17" s="47">
        <v>18.2</v>
      </c>
      <c r="S17" s="6"/>
      <c r="T17" s="6"/>
      <c r="U17" s="17"/>
    </row>
    <row r="18" spans="1:21" ht="13.5" thickBot="1">
      <c r="A18" s="22" t="s">
        <v>14</v>
      </c>
      <c r="B18" s="173">
        <f>B16+B17</f>
        <v>35779</v>
      </c>
      <c r="C18" s="173">
        <f>C16+C17</f>
        <v>7221</v>
      </c>
      <c r="D18" s="109"/>
      <c r="E18" s="173">
        <f>E16+E17</f>
        <v>1957</v>
      </c>
      <c r="F18" s="110"/>
      <c r="G18" s="18"/>
      <c r="H18" s="19"/>
      <c r="I18" s="20"/>
      <c r="J18" s="174"/>
      <c r="K18" s="174"/>
      <c r="L18" s="20"/>
      <c r="M18" s="20"/>
      <c r="N18" s="20"/>
      <c r="O18" s="20"/>
      <c r="P18" s="20"/>
      <c r="Q18" s="20"/>
      <c r="R18" s="174">
        <f>R16+R17</f>
        <v>636.2</v>
      </c>
      <c r="S18" s="20"/>
      <c r="T18" s="20"/>
      <c r="U18" s="21"/>
    </row>
    <row r="19" spans="2:16" ht="15" customHeight="1">
      <c r="B19" s="138"/>
      <c r="C19" s="138"/>
      <c r="E19" s="5"/>
      <c r="I19" s="139"/>
      <c r="J19" s="139"/>
      <c r="K19" s="139"/>
      <c r="L19" s="130"/>
      <c r="M19" s="58"/>
      <c r="N19" s="58"/>
      <c r="O19" s="58"/>
      <c r="P19" s="58"/>
    </row>
    <row r="20" spans="1:5" ht="15" hidden="1">
      <c r="A20" s="37" t="s">
        <v>35</v>
      </c>
      <c r="E20" s="1" t="s">
        <v>112</v>
      </c>
    </row>
    <row r="21" ht="15.75">
      <c r="A21" s="33"/>
    </row>
    <row r="22" ht="12.75" hidden="1">
      <c r="B22" s="1" t="s">
        <v>39</v>
      </c>
    </row>
    <row r="23" ht="12.75" customHeight="1" hidden="1">
      <c r="A23" s="8"/>
    </row>
    <row r="24" ht="12.75" hidden="1">
      <c r="B24" s="1" t="s">
        <v>40</v>
      </c>
    </row>
    <row r="25" ht="12.75" hidden="1"/>
    <row r="26" spans="2:8" ht="36.75" customHeight="1" hidden="1">
      <c r="B26" s="137" t="s">
        <v>41</v>
      </c>
      <c r="C26" s="137"/>
      <c r="D26" s="137"/>
      <c r="E26" s="137"/>
      <c r="F26" s="63"/>
      <c r="G26" s="63"/>
      <c r="H26" s="8"/>
    </row>
    <row r="27" ht="12.75" hidden="1"/>
    <row r="28" ht="12.75" hidden="1">
      <c r="B28" s="1" t="s">
        <v>42</v>
      </c>
    </row>
    <row r="29" ht="12.75" hidden="1"/>
    <row r="30" ht="12.75" hidden="1">
      <c r="B30" s="1" t="s">
        <v>43</v>
      </c>
    </row>
    <row r="31" ht="12.75" hidden="1"/>
    <row r="32" ht="12.75" hidden="1">
      <c r="B32" s="1" t="s">
        <v>44</v>
      </c>
    </row>
    <row r="33" ht="12.75" hidden="1"/>
    <row r="34" ht="12.75" hidden="1"/>
    <row r="35" spans="2:5" ht="39.75" customHeight="1" hidden="1">
      <c r="B35" s="137" t="s">
        <v>45</v>
      </c>
      <c r="C35" s="137"/>
      <c r="D35" s="137"/>
      <c r="E35" s="137"/>
    </row>
    <row r="36" ht="12.75" hidden="1"/>
    <row r="37" spans="2:5" ht="23.25" hidden="1">
      <c r="B37" s="175" t="s">
        <v>46</v>
      </c>
      <c r="C37" s="175"/>
      <c r="D37" s="175"/>
      <c r="E37" s="175"/>
    </row>
    <row r="38" ht="12.75" hidden="1"/>
    <row r="39" ht="12.75" hidden="1">
      <c r="B39" s="1" t="s">
        <v>47</v>
      </c>
    </row>
    <row r="40" ht="12.75" hidden="1"/>
    <row r="41" ht="12.75" hidden="1">
      <c r="B41" s="1" t="s">
        <v>48</v>
      </c>
    </row>
    <row r="42" ht="12.75" hidden="1"/>
    <row r="43" ht="12.75"/>
  </sheetData>
  <sheetProtection/>
  <mergeCells count="26">
    <mergeCell ref="B35:E35"/>
    <mergeCell ref="B37:E37"/>
    <mergeCell ref="G4:G6"/>
    <mergeCell ref="D4:D6"/>
    <mergeCell ref="I4:I6"/>
    <mergeCell ref="F4:F6"/>
    <mergeCell ref="H4:H6"/>
    <mergeCell ref="B26:E26"/>
    <mergeCell ref="B19:C19"/>
    <mergeCell ref="I19:K19"/>
    <mergeCell ref="O4:O6"/>
    <mergeCell ref="P4:P6"/>
    <mergeCell ref="C4:C6"/>
    <mergeCell ref="J4:J6"/>
    <mergeCell ref="K4:K6"/>
    <mergeCell ref="L4:L6"/>
    <mergeCell ref="U4:U6"/>
    <mergeCell ref="A4:A6"/>
    <mergeCell ref="E4:E6"/>
    <mergeCell ref="B4:B6"/>
    <mergeCell ref="Q4:Q6"/>
    <mergeCell ref="M4:M6"/>
    <mergeCell ref="R4:R6"/>
    <mergeCell ref="S4:S6"/>
    <mergeCell ref="T4:T6"/>
    <mergeCell ref="N4:N6"/>
  </mergeCells>
  <printOptions/>
  <pageMargins left="0.25" right="0.25" top="0.75" bottom="0.75" header="0.3" footer="0.3"/>
  <pageSetup fitToHeight="0" fitToWidth="0" horizontalDpi="600" verticalDpi="600" orientation="landscape" paperSize="9" scale="85" r:id="rId4"/>
  <headerFooter alignWithMargins="0">
    <oddFooter>&amp;CСтраница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HR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7" sqref="D27"/>
    </sheetView>
  </sheetViews>
  <sheetFormatPr defaultColWidth="12.25390625" defaultRowHeight="12.75"/>
  <cols>
    <col min="1" max="1" width="21.25390625" style="11" customWidth="1"/>
    <col min="2" max="2" width="14.875" style="11" customWidth="1"/>
    <col min="3" max="5" width="12.875" style="11" customWidth="1"/>
    <col min="6" max="6" width="13.75390625" style="11" customWidth="1"/>
    <col min="7" max="7" width="16.00390625" style="11" customWidth="1"/>
    <col min="8" max="8" width="13.75390625" style="11" customWidth="1"/>
    <col min="9" max="9" width="15.625" style="11" customWidth="1"/>
    <col min="10" max="12" width="13.75390625" style="11" customWidth="1"/>
    <col min="13" max="13" width="13.25390625" style="11" customWidth="1"/>
    <col min="14" max="16384" width="12.25390625" style="11" customWidth="1"/>
  </cols>
  <sheetData>
    <row r="1" ht="12.75">
      <c r="L1" s="2"/>
    </row>
    <row r="2" spans="2:12" ht="12.75">
      <c r="B2" s="25" t="s">
        <v>110</v>
      </c>
      <c r="L2" s="2"/>
    </row>
    <row r="3" ht="12.75" customHeight="1">
      <c r="B3" s="11" t="s">
        <v>64</v>
      </c>
    </row>
    <row r="4" ht="12.75"/>
    <row r="5" spans="1:226" ht="89.25" customHeight="1">
      <c r="A5" s="140" t="s">
        <v>0</v>
      </c>
      <c r="B5" s="176" t="s">
        <v>80</v>
      </c>
      <c r="C5" s="177" t="s">
        <v>15</v>
      </c>
      <c r="D5" s="177" t="s">
        <v>16</v>
      </c>
      <c r="E5" s="177" t="s">
        <v>26</v>
      </c>
      <c r="F5" s="140" t="s">
        <v>68</v>
      </c>
      <c r="G5" s="178" t="s">
        <v>71</v>
      </c>
      <c r="H5" s="178" t="s">
        <v>70</v>
      </c>
      <c r="I5" s="178" t="s">
        <v>72</v>
      </c>
      <c r="J5" s="178" t="s">
        <v>69</v>
      </c>
      <c r="K5" s="178" t="s">
        <v>73</v>
      </c>
      <c r="L5" s="144" t="s">
        <v>1</v>
      </c>
      <c r="M5" s="140" t="s">
        <v>27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26" ht="34.5" customHeight="1">
      <c r="A6" s="140"/>
      <c r="B6" s="176"/>
      <c r="C6" s="177"/>
      <c r="D6" s="177"/>
      <c r="E6" s="177"/>
      <c r="F6" s="140"/>
      <c r="G6" s="179"/>
      <c r="H6" s="179"/>
      <c r="I6" s="179"/>
      <c r="J6" s="179"/>
      <c r="K6" s="179"/>
      <c r="L6" s="145"/>
      <c r="M6" s="14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</row>
    <row r="7" spans="1:226" ht="34.5" customHeight="1">
      <c r="A7" s="67"/>
      <c r="B7" s="81"/>
      <c r="C7" s="82"/>
      <c r="D7" s="82"/>
      <c r="E7" s="82"/>
      <c r="F7" s="67"/>
      <c r="G7" s="67"/>
      <c r="H7" s="83"/>
      <c r="I7" s="67"/>
      <c r="J7" s="83"/>
      <c r="K7" s="67"/>
      <c r="L7" s="68"/>
      <c r="M7" s="6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</row>
    <row r="8" spans="1:226" ht="34.5" customHeight="1">
      <c r="A8" s="67" t="s">
        <v>82</v>
      </c>
      <c r="B8" s="84">
        <v>0.1</v>
      </c>
      <c r="C8" s="85">
        <v>1</v>
      </c>
      <c r="D8" s="85">
        <v>1</v>
      </c>
      <c r="E8" s="82"/>
      <c r="F8" s="67"/>
      <c r="G8" s="67"/>
      <c r="H8" s="83"/>
      <c r="I8" s="67"/>
      <c r="J8" s="83"/>
      <c r="K8" s="67"/>
      <c r="L8" s="68"/>
      <c r="M8" s="6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</row>
    <row r="9" spans="1:226" ht="15">
      <c r="A9" s="42" t="s">
        <v>4</v>
      </c>
      <c r="B9" s="180">
        <v>491110</v>
      </c>
      <c r="C9" s="180">
        <v>6395</v>
      </c>
      <c r="D9" s="180">
        <v>5165</v>
      </c>
      <c r="E9" s="86">
        <f>F9+H9+J9</f>
        <v>58245.04275551579</v>
      </c>
      <c r="F9" s="104">
        <f>$B$17*$B$8*(G9/$G$17)</f>
        <v>48449.59292087502</v>
      </c>
      <c r="G9" s="131">
        <v>455242.6</v>
      </c>
      <c r="H9" s="104">
        <f>$C$17*$C$8*(I9/$I$17)</f>
        <v>5780.745697896749</v>
      </c>
      <c r="I9" s="104">
        <f>6050+2415+177+48</f>
        <v>8690</v>
      </c>
      <c r="J9" s="104">
        <f>$D$17*$D$8*(K9/$K$17)</f>
        <v>4014.70413674402</v>
      </c>
      <c r="K9" s="104">
        <f>6273+3602</f>
        <v>9875</v>
      </c>
      <c r="L9" s="181">
        <f>ИБР!B8</f>
        <v>19138</v>
      </c>
      <c r="M9" s="105">
        <f>(E9/L9)/($E$17/$L$17)</f>
        <v>1.2347610682962722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</row>
    <row r="10" spans="1:226" ht="15">
      <c r="A10" s="42" t="s">
        <v>5</v>
      </c>
      <c r="B10" s="180">
        <v>137360</v>
      </c>
      <c r="C10" s="180">
        <v>1200</v>
      </c>
      <c r="D10" s="180">
        <v>1121</v>
      </c>
      <c r="E10" s="86">
        <f aca="true" t="shared" si="0" ref="E10:E16">F10+H10+J10</f>
        <v>17900.62358588182</v>
      </c>
      <c r="F10" s="104">
        <f aca="true" t="shared" si="1" ref="F10:F16">$B$17*$B$8*(G10/$G$17)</f>
        <v>14588.582502278901</v>
      </c>
      <c r="G10" s="131">
        <v>137077.4</v>
      </c>
      <c r="H10" s="104">
        <f aca="true" t="shared" si="2" ref="H10:H16">$C$17*$C$8*(I10/$I$17)</f>
        <v>1399.618981401008</v>
      </c>
      <c r="I10" s="129">
        <f>1153+905+29+17</f>
        <v>2104</v>
      </c>
      <c r="J10" s="104">
        <f aca="true" t="shared" si="3" ref="J10:J16">$D$17*$D$8*(K10/$K$17)</f>
        <v>1912.422102201911</v>
      </c>
      <c r="K10" s="129">
        <f>2090+2614</f>
        <v>4704</v>
      </c>
      <c r="L10" s="181">
        <f>ИБР!B9</f>
        <v>10428</v>
      </c>
      <c r="M10" s="105">
        <f aca="true" t="shared" si="4" ref="M10:M16">(E10/L10)/($E$17/$L$17)</f>
        <v>0.6964463193100472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</row>
    <row r="11" spans="1:226" ht="15">
      <c r="A11" s="42" t="s">
        <v>6</v>
      </c>
      <c r="B11" s="180">
        <v>11060</v>
      </c>
      <c r="C11" s="180">
        <v>1</v>
      </c>
      <c r="D11" s="180">
        <v>32</v>
      </c>
      <c r="E11" s="86">
        <f t="shared" si="0"/>
        <v>1042.1235389684284</v>
      </c>
      <c r="F11" s="104">
        <f t="shared" si="1"/>
        <v>901.5016757106124</v>
      </c>
      <c r="G11" s="132">
        <v>8470.7</v>
      </c>
      <c r="H11" s="104">
        <f t="shared" si="2"/>
        <v>111.75664870502347</v>
      </c>
      <c r="I11" s="104">
        <f>166+2</f>
        <v>168</v>
      </c>
      <c r="J11" s="104">
        <f t="shared" si="3"/>
        <v>28.86521455279245</v>
      </c>
      <c r="K11" s="104">
        <f>50+21</f>
        <v>71</v>
      </c>
      <c r="L11" s="181">
        <f>ИБР!B10</f>
        <v>496</v>
      </c>
      <c r="M11" s="105">
        <f t="shared" si="4"/>
        <v>0.8524286518853241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</row>
    <row r="12" spans="1:226" ht="15">
      <c r="A12" s="42" t="s">
        <v>8</v>
      </c>
      <c r="B12" s="180">
        <v>6890</v>
      </c>
      <c r="C12" s="180">
        <v>5</v>
      </c>
      <c r="D12" s="180">
        <v>36</v>
      </c>
      <c r="E12" s="86">
        <f t="shared" si="0"/>
        <v>527.8355833233879</v>
      </c>
      <c r="F12" s="104">
        <f t="shared" si="1"/>
        <v>428.97078214158984</v>
      </c>
      <c r="G12" s="132">
        <v>4030.7</v>
      </c>
      <c r="H12" s="104">
        <f t="shared" si="2"/>
        <v>17.9608899704502</v>
      </c>
      <c r="I12" s="104">
        <f>15+6+6</f>
        <v>27</v>
      </c>
      <c r="J12" s="104">
        <f t="shared" si="3"/>
        <v>80.90391121134786</v>
      </c>
      <c r="K12" s="104">
        <f>74+125</f>
        <v>199</v>
      </c>
      <c r="L12" s="181">
        <f>ИБР!B11</f>
        <v>622</v>
      </c>
      <c r="M12" s="105">
        <f t="shared" si="4"/>
        <v>0.3442934727291184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</row>
    <row r="13" spans="1:226" ht="15">
      <c r="A13" s="42" t="s">
        <v>9</v>
      </c>
      <c r="B13" s="180">
        <v>6000</v>
      </c>
      <c r="C13" s="180">
        <v>13</v>
      </c>
      <c r="D13" s="180">
        <v>72</v>
      </c>
      <c r="E13" s="86">
        <f t="shared" si="0"/>
        <v>806.6130991130844</v>
      </c>
      <c r="F13" s="104">
        <f t="shared" si="1"/>
        <v>652.199059002181</v>
      </c>
      <c r="G13" s="132">
        <v>6128.2</v>
      </c>
      <c r="H13" s="104">
        <f t="shared" si="2"/>
        <v>25.943507735094734</v>
      </c>
      <c r="I13" s="104">
        <f>4+26+5+4</f>
        <v>39</v>
      </c>
      <c r="J13" s="104">
        <f t="shared" si="3"/>
        <v>128.47053237580866</v>
      </c>
      <c r="K13" s="104">
        <f>154+162</f>
        <v>316</v>
      </c>
      <c r="L13" s="181">
        <f>ИБР!B12</f>
        <v>467</v>
      </c>
      <c r="M13" s="105">
        <f t="shared" si="4"/>
        <v>0.700759347595289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</row>
    <row r="14" spans="1:226" ht="15">
      <c r="A14" s="42" t="s">
        <v>10</v>
      </c>
      <c r="B14" s="180">
        <v>17860</v>
      </c>
      <c r="C14" s="180">
        <v>4</v>
      </c>
      <c r="D14" s="180">
        <v>88</v>
      </c>
      <c r="E14" s="86">
        <f t="shared" si="0"/>
        <v>1903.4595408717905</v>
      </c>
      <c r="F14" s="104">
        <f t="shared" si="1"/>
        <v>1701.7816998731398</v>
      </c>
      <c r="G14" s="132">
        <v>15990.3</v>
      </c>
      <c r="H14" s="104">
        <f t="shared" si="2"/>
        <v>122.40013905788284</v>
      </c>
      <c r="I14" s="104">
        <f>174+7+3</f>
        <v>184</v>
      </c>
      <c r="J14" s="104">
        <f t="shared" si="3"/>
        <v>79.277701940768</v>
      </c>
      <c r="K14" s="104">
        <f>114+81</f>
        <v>195</v>
      </c>
      <c r="L14" s="181">
        <f>ИБР!B13</f>
        <v>592</v>
      </c>
      <c r="M14" s="105">
        <f t="shared" si="4"/>
        <v>1.3044951026979608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</row>
    <row r="15" spans="1:226" ht="15">
      <c r="A15" s="42" t="s">
        <v>7</v>
      </c>
      <c r="B15" s="180">
        <v>30000</v>
      </c>
      <c r="C15" s="180">
        <v>15</v>
      </c>
      <c r="D15" s="180">
        <v>136</v>
      </c>
      <c r="E15" s="86">
        <f t="shared" si="0"/>
        <v>3721.273375469676</v>
      </c>
      <c r="F15" s="104">
        <f t="shared" si="1"/>
        <v>3369.2410544363674</v>
      </c>
      <c r="G15" s="132">
        <v>31658.1</v>
      </c>
      <c r="H15" s="104">
        <f t="shared" si="2"/>
        <v>67.85225099947854</v>
      </c>
      <c r="I15" s="104">
        <f>11+79+8+4</f>
        <v>102</v>
      </c>
      <c r="J15" s="104">
        <f t="shared" si="3"/>
        <v>284.1800700338299</v>
      </c>
      <c r="K15" s="104">
        <f>357+342</f>
        <v>699</v>
      </c>
      <c r="L15" s="181">
        <f>ИБР!B14</f>
        <v>1785</v>
      </c>
      <c r="M15" s="105">
        <f t="shared" si="4"/>
        <v>0.8458120438518432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</row>
    <row r="16" spans="1:226" ht="15">
      <c r="A16" s="42" t="s">
        <v>11</v>
      </c>
      <c r="B16" s="180">
        <v>30000</v>
      </c>
      <c r="C16" s="180">
        <v>21</v>
      </c>
      <c r="D16" s="180">
        <v>200</v>
      </c>
      <c r="E16" s="86">
        <f t="shared" si="0"/>
        <v>3385.0285208560363</v>
      </c>
      <c r="F16" s="104">
        <f t="shared" si="1"/>
        <v>2936.130305682202</v>
      </c>
      <c r="G16" s="132">
        <v>27588.5</v>
      </c>
      <c r="H16" s="104">
        <f t="shared" si="2"/>
        <v>127.72188423431253</v>
      </c>
      <c r="I16" s="104">
        <f>16+172+2+2</f>
        <v>192</v>
      </c>
      <c r="J16" s="104">
        <f t="shared" si="3"/>
        <v>321.1763309395216</v>
      </c>
      <c r="K16" s="104">
        <f>394+396</f>
        <v>790</v>
      </c>
      <c r="L16" s="181">
        <f>ИБР!B15</f>
        <v>1985</v>
      </c>
      <c r="M16" s="105">
        <f t="shared" si="4"/>
        <v>0.6918665447901278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</row>
    <row r="17" spans="1:226" ht="12.75">
      <c r="A17" s="22" t="s">
        <v>13</v>
      </c>
      <c r="B17" s="126">
        <f>SUM(B9:B16)</f>
        <v>730280</v>
      </c>
      <c r="C17" s="126">
        <f aca="true" t="shared" si="5" ref="C17:L17">SUM(C9:C16)</f>
        <v>7654</v>
      </c>
      <c r="D17" s="126">
        <f t="shared" si="5"/>
        <v>6850</v>
      </c>
      <c r="E17" s="126">
        <f t="shared" si="5"/>
        <v>87532.00000000001</v>
      </c>
      <c r="F17" s="126">
        <f t="shared" si="5"/>
        <v>73028.00000000001</v>
      </c>
      <c r="G17" s="126">
        <f t="shared" si="5"/>
        <v>686186.4999999999</v>
      </c>
      <c r="H17" s="126">
        <f t="shared" si="5"/>
        <v>7654</v>
      </c>
      <c r="I17" s="126">
        <f t="shared" si="5"/>
        <v>11506</v>
      </c>
      <c r="J17" s="126">
        <f t="shared" si="5"/>
        <v>6850</v>
      </c>
      <c r="K17" s="126">
        <f t="shared" si="5"/>
        <v>16849</v>
      </c>
      <c r="L17" s="126">
        <f t="shared" si="5"/>
        <v>35513</v>
      </c>
      <c r="M17" s="182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</row>
    <row r="18" spans="1:226" ht="12.75">
      <c r="A18" s="42" t="s">
        <v>12</v>
      </c>
      <c r="B18" s="183"/>
      <c r="C18" s="183"/>
      <c r="D18" s="183"/>
      <c r="E18" s="9"/>
      <c r="F18" s="14"/>
      <c r="G18" s="14"/>
      <c r="H18" s="14"/>
      <c r="I18" s="14"/>
      <c r="J18" s="14"/>
      <c r="K18" s="14"/>
      <c r="L18" s="184"/>
      <c r="M18" s="3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</row>
    <row r="19" spans="1:226" ht="12.75">
      <c r="A19" s="22" t="s">
        <v>14</v>
      </c>
      <c r="B19" s="183"/>
      <c r="C19" s="183"/>
      <c r="D19" s="183"/>
      <c r="E19" s="9"/>
      <c r="F19" s="14"/>
      <c r="G19" s="14"/>
      <c r="H19" s="14"/>
      <c r="I19" s="14"/>
      <c r="J19" s="14"/>
      <c r="K19" s="14"/>
      <c r="L19" s="184"/>
      <c r="M19" s="3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</row>
    <row r="20" ht="12.75">
      <c r="L20" s="25"/>
    </row>
    <row r="21" spans="1:2" ht="15.75" hidden="1">
      <c r="A21" s="32" t="s">
        <v>32</v>
      </c>
      <c r="B21" s="29"/>
    </row>
    <row r="22" ht="15.75" hidden="1">
      <c r="A22" s="31" t="s">
        <v>33</v>
      </c>
    </row>
    <row r="23" ht="15.75">
      <c r="B23" s="30"/>
    </row>
    <row r="24" spans="2:6" ht="12.75">
      <c r="B24" s="103"/>
      <c r="F24" s="106"/>
    </row>
  </sheetData>
  <sheetProtection/>
  <mergeCells count="14">
    <mergeCell ref="J5:J6"/>
    <mergeCell ref="I5:I6"/>
    <mergeCell ref="H5:H6"/>
    <mergeCell ref="M5:M6"/>
    <mergeCell ref="L5:L6"/>
    <mergeCell ref="K5:K6"/>
    <mergeCell ref="G5:G6"/>
    <mergeCell ref="A5:A6"/>
    <mergeCell ref="F5:F6"/>
    <mergeCell ref="B5:B6"/>
    <mergeCell ref="C5:C6"/>
    <mergeCell ref="D5:D6"/>
    <mergeCell ref="E5:E6"/>
  </mergeCells>
  <printOptions/>
  <pageMargins left="0.3937007874015748" right="0.1968503937007874" top="0.5905511811023623" bottom="0.7086614173228347" header="0.5118110236220472" footer="0.5118110236220472"/>
  <pageSetup fitToHeight="0" fitToWidth="1" horizontalDpi="600" verticalDpi="600" orientation="landscape" paperSize="9" scale="69" r:id="rId3"/>
  <headerFooter alignWithMargins="0">
    <oddFooter>&amp;CСтраница &amp;P</oddFooter>
  </headerFooter>
  <colBreaks count="1" manualBreakCount="1">
    <brk id="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tabSelected="1" zoomScalePageLayoutView="0" workbookViewId="0" topLeftCell="B1">
      <pane xSplit="1" ySplit="6" topLeftCell="K7" activePane="bottomRight" state="frozen"/>
      <selection pane="topLeft" activeCell="B1" sqref="B1"/>
      <selection pane="topRight" activeCell="C1" sqref="C1"/>
      <selection pane="bottomLeft" activeCell="B8" sqref="B8"/>
      <selection pane="bottomRight" activeCell="Y52" sqref="Y52"/>
    </sheetView>
  </sheetViews>
  <sheetFormatPr defaultColWidth="9.00390625" defaultRowHeight="12.75"/>
  <cols>
    <col min="1" max="1" width="6.625" style="11" hidden="1" customWidth="1"/>
    <col min="2" max="2" width="21.75390625" style="1" customWidth="1"/>
    <col min="3" max="3" width="9.00390625" style="1" customWidth="1"/>
    <col min="4" max="4" width="9.375" style="1" customWidth="1"/>
    <col min="5" max="5" width="8.625" style="1" customWidth="1"/>
    <col min="6" max="6" width="9.25390625" style="11" customWidth="1"/>
    <col min="7" max="7" width="11.75390625" style="11" customWidth="1"/>
    <col min="8" max="8" width="11.75390625" style="11" hidden="1" customWidth="1"/>
    <col min="9" max="9" width="12.25390625" style="11" customWidth="1"/>
    <col min="10" max="10" width="10.875" style="11" customWidth="1"/>
    <col min="11" max="12" width="12.00390625" style="11" customWidth="1"/>
    <col min="13" max="13" width="10.625" style="11" hidden="1" customWidth="1"/>
    <col min="14" max="21" width="12.00390625" style="11" hidden="1" customWidth="1"/>
    <col min="22" max="22" width="11.875" style="11" customWidth="1"/>
    <col min="23" max="27" width="9.125" style="11" customWidth="1"/>
    <col min="28" max="28" width="10.125" style="11" bestFit="1" customWidth="1"/>
    <col min="29" max="29" width="10.125" style="11" customWidth="1"/>
    <col min="30" max="30" width="10.125" style="11" bestFit="1" customWidth="1"/>
    <col min="31" max="31" width="9.125" style="11" customWidth="1"/>
    <col min="32" max="32" width="10.625" style="11" customWidth="1"/>
    <col min="33" max="16384" width="9.125" style="11" customWidth="1"/>
  </cols>
  <sheetData>
    <row r="1" spans="2:18" ht="15.75">
      <c r="B1" s="5"/>
      <c r="C1" s="185" t="s">
        <v>111</v>
      </c>
      <c r="D1" s="5"/>
      <c r="R1" s="186"/>
    </row>
    <row r="2" spans="2:18" ht="15.75">
      <c r="B2" s="5"/>
      <c r="C2" s="185"/>
      <c r="D2" s="5"/>
      <c r="I2" s="187"/>
      <c r="R2" s="186"/>
    </row>
    <row r="3" spans="2:18" ht="15.75">
      <c r="B3" s="5"/>
      <c r="C3" s="185"/>
      <c r="D3" s="5"/>
      <c r="R3" s="186"/>
    </row>
    <row r="4" spans="1:32" ht="43.5" customHeight="1">
      <c r="A4" s="144"/>
      <c r="B4" s="144" t="s">
        <v>0</v>
      </c>
      <c r="C4" s="149" t="s">
        <v>1</v>
      </c>
      <c r="D4" s="144" t="s">
        <v>2</v>
      </c>
      <c r="E4" s="144" t="s">
        <v>3</v>
      </c>
      <c r="F4" s="149" t="s">
        <v>19</v>
      </c>
      <c r="G4" s="144" t="s">
        <v>25</v>
      </c>
      <c r="H4" s="149" t="s">
        <v>36</v>
      </c>
      <c r="I4" s="149" t="s">
        <v>75</v>
      </c>
      <c r="J4" s="149" t="s">
        <v>74</v>
      </c>
      <c r="K4" s="144" t="s">
        <v>28</v>
      </c>
      <c r="L4" s="149" t="s">
        <v>37</v>
      </c>
      <c r="M4" s="144" t="s">
        <v>24</v>
      </c>
      <c r="N4" s="149" t="s">
        <v>21</v>
      </c>
      <c r="O4" s="144" t="s">
        <v>20</v>
      </c>
      <c r="P4" s="144" t="s">
        <v>22</v>
      </c>
      <c r="Q4" s="141" t="s">
        <v>29</v>
      </c>
      <c r="R4" s="142"/>
      <c r="S4" s="142"/>
      <c r="T4" s="142"/>
      <c r="U4" s="142"/>
      <c r="V4" s="188" t="s">
        <v>76</v>
      </c>
      <c r="W4" s="188" t="s">
        <v>91</v>
      </c>
      <c r="X4" s="188" t="s">
        <v>97</v>
      </c>
      <c r="Y4" s="189" t="s">
        <v>20</v>
      </c>
      <c r="Z4" s="188" t="s">
        <v>22</v>
      </c>
      <c r="AA4" s="190" t="s">
        <v>95</v>
      </c>
      <c r="AB4" s="191"/>
      <c r="AC4" s="191"/>
      <c r="AD4" s="191"/>
      <c r="AE4" s="191"/>
      <c r="AF4" s="192"/>
    </row>
    <row r="5" spans="1:32" ht="60" customHeight="1">
      <c r="A5" s="148"/>
      <c r="B5" s="148"/>
      <c r="C5" s="150"/>
      <c r="D5" s="148"/>
      <c r="E5" s="148"/>
      <c r="F5" s="150"/>
      <c r="G5" s="148"/>
      <c r="H5" s="150"/>
      <c r="I5" s="150"/>
      <c r="J5" s="150"/>
      <c r="K5" s="148"/>
      <c r="L5" s="150"/>
      <c r="M5" s="148"/>
      <c r="N5" s="150"/>
      <c r="O5" s="148"/>
      <c r="P5" s="148"/>
      <c r="Q5" s="144" t="s">
        <v>18</v>
      </c>
      <c r="R5" s="144" t="s">
        <v>17</v>
      </c>
      <c r="S5" s="144" t="s">
        <v>23</v>
      </c>
      <c r="T5" s="149" t="s">
        <v>30</v>
      </c>
      <c r="U5" s="152" t="s">
        <v>31</v>
      </c>
      <c r="V5" s="193"/>
      <c r="W5" s="193"/>
      <c r="X5" s="193"/>
      <c r="Y5" s="194"/>
      <c r="Z5" s="193"/>
      <c r="AA5" s="188" t="s">
        <v>92</v>
      </c>
      <c r="AB5" s="188" t="s">
        <v>93</v>
      </c>
      <c r="AC5" s="188" t="s">
        <v>23</v>
      </c>
      <c r="AD5" s="195" t="s">
        <v>114</v>
      </c>
      <c r="AE5" s="195" t="s">
        <v>107</v>
      </c>
      <c r="AF5" s="188" t="s">
        <v>96</v>
      </c>
    </row>
    <row r="6" spans="1:32" ht="123" customHeight="1">
      <c r="A6" s="145"/>
      <c r="B6" s="148"/>
      <c r="C6" s="151"/>
      <c r="D6" s="145"/>
      <c r="E6" s="145"/>
      <c r="F6" s="151"/>
      <c r="G6" s="145"/>
      <c r="H6" s="151"/>
      <c r="I6" s="151"/>
      <c r="J6" s="151"/>
      <c r="K6" s="145"/>
      <c r="L6" s="151"/>
      <c r="M6" s="145"/>
      <c r="N6" s="151"/>
      <c r="O6" s="145"/>
      <c r="P6" s="145"/>
      <c r="Q6" s="145"/>
      <c r="R6" s="145"/>
      <c r="S6" s="145"/>
      <c r="T6" s="151"/>
      <c r="U6" s="152"/>
      <c r="V6" s="196"/>
      <c r="W6" s="196"/>
      <c r="X6" s="196"/>
      <c r="Y6" s="197"/>
      <c r="Z6" s="196"/>
      <c r="AA6" s="196"/>
      <c r="AB6" s="196"/>
      <c r="AC6" s="196"/>
      <c r="AD6" s="198"/>
      <c r="AE6" s="198"/>
      <c r="AF6" s="196"/>
    </row>
    <row r="7" spans="1:32" ht="20.25" customHeight="1">
      <c r="A7" s="93"/>
      <c r="B7" s="70"/>
      <c r="C7" s="94"/>
      <c r="D7" s="68"/>
      <c r="E7" s="68"/>
      <c r="F7" s="69"/>
      <c r="G7" s="68"/>
      <c r="H7" s="69"/>
      <c r="I7" s="96"/>
      <c r="J7" s="69"/>
      <c r="K7" s="68"/>
      <c r="L7" s="69"/>
      <c r="M7" s="68"/>
      <c r="N7" s="69"/>
      <c r="O7" s="68"/>
      <c r="P7" s="68"/>
      <c r="Q7" s="68"/>
      <c r="R7" s="68"/>
      <c r="S7" s="68"/>
      <c r="T7" s="69"/>
      <c r="U7" s="71"/>
      <c r="V7" s="95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ht="14.25">
      <c r="A8" s="41"/>
      <c r="B8" s="42" t="s">
        <v>4</v>
      </c>
      <c r="C8" s="199">
        <f>ИБР!B8</f>
        <v>19138</v>
      </c>
      <c r="D8" s="7">
        <f>ИБР!U8</f>
        <v>0.887998000747453</v>
      </c>
      <c r="E8" s="34">
        <f>ИНП!M9</f>
        <v>1.2347610682962722</v>
      </c>
      <c r="F8" s="7">
        <f>E8/D8</f>
        <v>1.3904998291177895</v>
      </c>
      <c r="G8" s="47">
        <f>$G$18*C8/$C$18-0.1</f>
        <v>32152.317686352333</v>
      </c>
      <c r="H8" s="6"/>
      <c r="I8" s="7"/>
      <c r="J8" s="48">
        <f>(Параметры!$B$11/$C$16)*($I$16-F8)*D8*C8</f>
        <v>24786.969447867115</v>
      </c>
      <c r="K8" s="38">
        <f>$K$16*J8/$J$16</f>
        <v>24786.969447867104</v>
      </c>
      <c r="L8" s="39">
        <f>((ИНП!E9+Итоговая!G8+Итоговая!K8)/Итоговая!C8)/(ИНП!$E$17/ИНП!$L$17)/Итоговая!D8</f>
        <v>2.7498269973122555</v>
      </c>
      <c r="M8" s="43"/>
      <c r="N8" s="49"/>
      <c r="O8" s="43"/>
      <c r="P8" s="49"/>
      <c r="Q8" s="49"/>
      <c r="R8" s="38"/>
      <c r="S8" s="49"/>
      <c r="T8" s="40"/>
      <c r="U8" s="64"/>
      <c r="V8" s="200">
        <f>G8+K8</f>
        <v>56939.28713421944</v>
      </c>
      <c r="W8" s="40">
        <v>82382</v>
      </c>
      <c r="X8" s="40">
        <f>178647.2+1628.6</f>
        <v>180275.80000000002</v>
      </c>
      <c r="Y8" s="49">
        <f>W8*0.1</f>
        <v>8238.2</v>
      </c>
      <c r="Z8" s="49">
        <f aca="true" t="shared" si="0" ref="Z8:Z15">X8-W8-Y8</f>
        <v>89655.60000000002</v>
      </c>
      <c r="AA8" s="49">
        <f aca="true" t="shared" si="1" ref="AA8:AA14">G8</f>
        <v>32152.317686352333</v>
      </c>
      <c r="AB8" s="49">
        <f>K8</f>
        <v>24786.969447867104</v>
      </c>
      <c r="AC8" s="49">
        <f aca="true" t="shared" si="2" ref="AC8:AC13">Z8-AA8-AB8-AD8-AE8</f>
        <v>0.012865780593074305</v>
      </c>
      <c r="AD8" s="49">
        <f>79293.9-51923.3+1628.6</f>
        <v>28999.19999999999</v>
      </c>
      <c r="AE8" s="40">
        <v>3717.1</v>
      </c>
      <c r="AF8" s="49">
        <f>SUM(AA8:AE8)</f>
        <v>89655.60000000003</v>
      </c>
      <c r="AG8" s="128"/>
    </row>
    <row r="9" spans="1:33" ht="14.25">
      <c r="A9" s="41"/>
      <c r="B9" s="42" t="s">
        <v>5</v>
      </c>
      <c r="C9" s="199">
        <f>ИБР!B9</f>
        <v>10428</v>
      </c>
      <c r="D9" s="7">
        <f>ИБР!U9</f>
        <v>0.9026788691128674</v>
      </c>
      <c r="E9" s="34">
        <f>ИНП!M10</f>
        <v>0.6964463193100472</v>
      </c>
      <c r="F9" s="7">
        <f aca="true" t="shared" si="3" ref="F9:F14">E9/D9</f>
        <v>0.7715327600329218</v>
      </c>
      <c r="G9" s="47">
        <f>$G$18*C9/$C$18-0.1</f>
        <v>17519.2547723525</v>
      </c>
      <c r="H9" s="6"/>
      <c r="I9" s="7"/>
      <c r="J9" s="48">
        <f>(Параметры!$B$11/$C$16)*($I$16-F9)*D9*C9</f>
        <v>27607.536832785896</v>
      </c>
      <c r="K9" s="38">
        <f aca="true" t="shared" si="4" ref="K9:K14">$K$16*J9/$J$16</f>
        <v>27607.53683278589</v>
      </c>
      <c r="L9" s="39">
        <f>((ИНП!E10+Итоговая!G9+Итоговая!K9)/Итоговая!C9)/(ИНП!$E$17/ИНП!$L$17)/Итоговая!D9</f>
        <v>2.7165375198672566</v>
      </c>
      <c r="M9" s="43"/>
      <c r="N9" s="49"/>
      <c r="O9" s="43"/>
      <c r="P9" s="49"/>
      <c r="Q9" s="49"/>
      <c r="R9" s="38"/>
      <c r="S9" s="49"/>
      <c r="T9" s="49"/>
      <c r="U9" s="64"/>
      <c r="V9" s="200">
        <f aca="true" t="shared" si="5" ref="V9:V15">G9+K9</f>
        <v>45126.79160513839</v>
      </c>
      <c r="W9" s="40">
        <v>22383</v>
      </c>
      <c r="X9" s="40">
        <v>106680.2</v>
      </c>
      <c r="Y9" s="49">
        <f aca="true" t="shared" si="6" ref="Y9:Y15">W9*0.05</f>
        <v>1119.15</v>
      </c>
      <c r="Z9" s="49">
        <f>X9-W9-Y9</f>
        <v>83178.05</v>
      </c>
      <c r="AA9" s="49">
        <f t="shared" si="1"/>
        <v>17519.2547723525</v>
      </c>
      <c r="AB9" s="49">
        <f aca="true" t="shared" si="7" ref="AB9:AB15">K9</f>
        <v>27607.53683278589</v>
      </c>
      <c r="AC9" s="49">
        <f t="shared" si="2"/>
        <v>26835.858394861607</v>
      </c>
      <c r="AD9" s="40">
        <f>4612.3+2023.2</f>
        <v>6635.5</v>
      </c>
      <c r="AE9" s="40">
        <v>4579.9</v>
      </c>
      <c r="AF9" s="49">
        <f>SUM(AA9:AE9)</f>
        <v>83178.04999999999</v>
      </c>
      <c r="AG9" s="128"/>
    </row>
    <row r="10" spans="1:33" ht="14.25">
      <c r="A10" s="41"/>
      <c r="B10" s="42" t="s">
        <v>6</v>
      </c>
      <c r="C10" s="199">
        <f>ИБР!B10</f>
        <v>496</v>
      </c>
      <c r="D10" s="7">
        <f>ИБР!U10</f>
        <v>2.315125889268552</v>
      </c>
      <c r="E10" s="34">
        <f>ИНП!M11</f>
        <v>0.8524286518853241</v>
      </c>
      <c r="F10" s="7">
        <f t="shared" si="3"/>
        <v>0.3681996974059338</v>
      </c>
      <c r="G10" s="47">
        <f aca="true" t="shared" si="8" ref="G10:G17">$G$18*C10/$C$18</f>
        <v>833.2949719108975</v>
      </c>
      <c r="H10" s="6"/>
      <c r="I10" s="7"/>
      <c r="J10" s="48">
        <f>(Параметры!$B$11/$C$16)*($I$16-F10)*D10*C10</f>
        <v>4471.01973987736</v>
      </c>
      <c r="K10" s="38">
        <f t="shared" si="4"/>
        <v>4471.019739877358</v>
      </c>
      <c r="L10" s="39">
        <f>((ИНП!E11+Итоговая!G10+Итоговая!K10)/Итоговая!C10)/(ИНП!$E$17/ИНП!$L$17)/Итоговая!D10</f>
        <v>2.242302909544823</v>
      </c>
      <c r="M10" s="43"/>
      <c r="N10" s="49"/>
      <c r="O10" s="43"/>
      <c r="P10" s="49"/>
      <c r="Q10" s="49"/>
      <c r="R10" s="38"/>
      <c r="S10" s="49"/>
      <c r="T10" s="49"/>
      <c r="U10" s="64"/>
      <c r="V10" s="200">
        <f t="shared" si="5"/>
        <v>5304.314711788255</v>
      </c>
      <c r="W10" s="40">
        <v>1220</v>
      </c>
      <c r="X10" s="40">
        <f>24470.5+1353.7</f>
        <v>25824.2</v>
      </c>
      <c r="Y10" s="49">
        <f t="shared" si="6"/>
        <v>61</v>
      </c>
      <c r="Z10" s="49">
        <f>X10-W10-Y10</f>
        <v>24543.2</v>
      </c>
      <c r="AA10" s="49">
        <f t="shared" si="1"/>
        <v>833.2949719108975</v>
      </c>
      <c r="AB10" s="49">
        <f>K10</f>
        <v>4471.019739877358</v>
      </c>
      <c r="AC10" s="49">
        <f t="shared" si="2"/>
        <v>14684.685288211742</v>
      </c>
      <c r="AD10" s="40">
        <f>1315.7+517.7+1353.7</f>
        <v>3187.1000000000004</v>
      </c>
      <c r="AE10" s="40">
        <v>1367.1</v>
      </c>
      <c r="AF10" s="49">
        <f>SUM(AA10:AE10)-0.1</f>
        <v>24543.1</v>
      </c>
      <c r="AG10" s="128"/>
    </row>
    <row r="11" spans="1:33" ht="14.25">
      <c r="A11" s="41"/>
      <c r="B11" s="42" t="s">
        <v>8</v>
      </c>
      <c r="C11" s="199">
        <f>ИБР!B11</f>
        <v>622</v>
      </c>
      <c r="D11" s="7">
        <f>ИБР!U11</f>
        <v>1.6145433459683025</v>
      </c>
      <c r="E11" s="34">
        <f>ИНП!M12</f>
        <v>0.3442934727291184</v>
      </c>
      <c r="F11" s="7">
        <f t="shared" si="3"/>
        <v>0.21324510957779994</v>
      </c>
      <c r="G11" s="47">
        <f t="shared" si="8"/>
        <v>1044.9787752592304</v>
      </c>
      <c r="H11" s="6"/>
      <c r="I11" s="7"/>
      <c r="J11" s="48">
        <f>(Параметры!$B$11/$C$16)*($I$16-F11)*D11*C11</f>
        <v>4280.783170727864</v>
      </c>
      <c r="K11" s="38">
        <f t="shared" si="4"/>
        <v>4280.783170727862</v>
      </c>
      <c r="L11" s="39">
        <f>((ИНП!E12+Итоговая!G11+Итоговая!K11)/Итоговая!C11)/(ИНП!$E$17/ИНП!$L$17)/Итоговая!D11</f>
        <v>2.3648482330479585</v>
      </c>
      <c r="M11" s="43"/>
      <c r="N11" s="49"/>
      <c r="O11" s="43"/>
      <c r="P11" s="49"/>
      <c r="Q11" s="49"/>
      <c r="R11" s="38"/>
      <c r="S11" s="49"/>
      <c r="T11" s="49"/>
      <c r="U11" s="64"/>
      <c r="V11" s="200">
        <f t="shared" si="5"/>
        <v>5325.761945987092</v>
      </c>
      <c r="W11" s="40">
        <v>1330</v>
      </c>
      <c r="X11" s="40">
        <f>27606.4+1998.7</f>
        <v>29605.100000000002</v>
      </c>
      <c r="Y11" s="49">
        <f t="shared" si="6"/>
        <v>66.5</v>
      </c>
      <c r="Z11" s="49">
        <f t="shared" si="0"/>
        <v>28208.600000000002</v>
      </c>
      <c r="AA11" s="49">
        <f t="shared" si="1"/>
        <v>1044.9787752592304</v>
      </c>
      <c r="AB11" s="49">
        <f t="shared" si="7"/>
        <v>4280.783170727862</v>
      </c>
      <c r="AC11" s="49">
        <f t="shared" si="2"/>
        <v>17089.23805401291</v>
      </c>
      <c r="AD11" s="40">
        <f>1845.3+932.1+1998.7</f>
        <v>4776.1</v>
      </c>
      <c r="AE11" s="40">
        <v>1017.5</v>
      </c>
      <c r="AF11" s="49">
        <f>SUM(AA11:AE11)</f>
        <v>28208.6</v>
      </c>
      <c r="AG11" s="128"/>
    </row>
    <row r="12" spans="1:33" ht="14.25">
      <c r="A12" s="41"/>
      <c r="B12" s="42" t="s">
        <v>9</v>
      </c>
      <c r="C12" s="199">
        <f>ИБР!B12</f>
        <v>467</v>
      </c>
      <c r="D12" s="7">
        <f>ИБР!U12</f>
        <v>2.4223493507886165</v>
      </c>
      <c r="E12" s="34">
        <f>ИНП!M13</f>
        <v>0.700759347595289</v>
      </c>
      <c r="F12" s="7">
        <f t="shared" si="3"/>
        <v>0.2892891346853627</v>
      </c>
      <c r="G12" s="47">
        <f t="shared" si="8"/>
        <v>784.5740965370749</v>
      </c>
      <c r="H12" s="6"/>
      <c r="I12" s="7"/>
      <c r="J12" s="48">
        <f>(Параметры!$B$11/$C$16)*($I$16-F12)*D12*C12</f>
        <v>4617.202472052787</v>
      </c>
      <c r="K12" s="38">
        <f t="shared" si="4"/>
        <v>4617.202472052785</v>
      </c>
      <c r="L12" s="39">
        <f>((ИНП!E13+Итоговая!G12+Итоговая!K12)/Итоговая!C12)/(ИНП!$E$17/ИНП!$L$17)/Итоговая!D12</f>
        <v>2.2266185321489993</v>
      </c>
      <c r="M12" s="43"/>
      <c r="N12" s="49"/>
      <c r="O12" s="43"/>
      <c r="P12" s="49"/>
      <c r="Q12" s="49"/>
      <c r="R12" s="38"/>
      <c r="S12" s="49"/>
      <c r="T12" s="49"/>
      <c r="U12" s="64"/>
      <c r="V12" s="200">
        <f t="shared" si="5"/>
        <v>5401.77656858986</v>
      </c>
      <c r="W12" s="40">
        <v>902</v>
      </c>
      <c r="X12" s="40">
        <f>26487.3+254.9</f>
        <v>26742.2</v>
      </c>
      <c r="Y12" s="49">
        <f t="shared" si="6"/>
        <v>45.1</v>
      </c>
      <c r="Z12" s="49">
        <f t="shared" si="0"/>
        <v>25795.100000000002</v>
      </c>
      <c r="AA12" s="49">
        <f t="shared" si="1"/>
        <v>784.5740965370749</v>
      </c>
      <c r="AB12" s="49">
        <f t="shared" si="7"/>
        <v>4617.202472052785</v>
      </c>
      <c r="AC12" s="49">
        <f t="shared" si="2"/>
        <v>18715.92343141014</v>
      </c>
      <c r="AD12" s="40">
        <f>212.5+448+254.9</f>
        <v>915.4</v>
      </c>
      <c r="AE12" s="40">
        <v>762</v>
      </c>
      <c r="AF12" s="49">
        <f>SUM(AA12:AE12)-0.1</f>
        <v>25795.000000000004</v>
      </c>
      <c r="AG12" s="128"/>
    </row>
    <row r="13" spans="1:33" ht="14.25">
      <c r="A13" s="41"/>
      <c r="B13" s="42" t="s">
        <v>10</v>
      </c>
      <c r="C13" s="199">
        <f>ИБР!B13</f>
        <v>592</v>
      </c>
      <c r="D13" s="7">
        <f>ИБР!U13</f>
        <v>1.6532327990838855</v>
      </c>
      <c r="E13" s="34">
        <f>ИНП!M14</f>
        <v>1.3044951026979608</v>
      </c>
      <c r="F13" s="7">
        <f t="shared" si="3"/>
        <v>0.7890571148968417</v>
      </c>
      <c r="G13" s="47">
        <f t="shared" si="8"/>
        <v>994.5778697001034</v>
      </c>
      <c r="H13" s="6"/>
      <c r="I13" s="7"/>
      <c r="J13" s="48">
        <f>(Параметры!$B$11/$C$16)*($I$16-F13)*D13*C13</f>
        <v>2829.590502831046</v>
      </c>
      <c r="K13" s="38">
        <f t="shared" si="4"/>
        <v>2829.590502831045</v>
      </c>
      <c r="L13" s="39">
        <f>((ИНП!E14+Итоговая!G13+Итоговая!K13)/Итоговая!C13)/(ИНП!$E$17/ИНП!$L$17)/Итоговая!D13</f>
        <v>2.3743218384785996</v>
      </c>
      <c r="M13" s="43"/>
      <c r="N13" s="49"/>
      <c r="O13" s="43"/>
      <c r="P13" s="49"/>
      <c r="Q13" s="49"/>
      <c r="R13" s="38"/>
      <c r="S13" s="49"/>
      <c r="T13" s="49"/>
      <c r="U13" s="64"/>
      <c r="V13" s="200">
        <f t="shared" si="5"/>
        <v>3824.168372531148</v>
      </c>
      <c r="W13" s="40">
        <v>4174</v>
      </c>
      <c r="X13" s="40">
        <f>27554.9+1779.7</f>
        <v>29334.600000000002</v>
      </c>
      <c r="Y13" s="49">
        <f>W13*0.05</f>
        <v>208.70000000000002</v>
      </c>
      <c r="Z13" s="49">
        <f>X13-W13-Y13</f>
        <v>24951.9</v>
      </c>
      <c r="AA13" s="49">
        <f t="shared" si="1"/>
        <v>994.5778697001034</v>
      </c>
      <c r="AB13" s="49">
        <f>K13-0.1</f>
        <v>2829.490502831045</v>
      </c>
      <c r="AC13" s="49">
        <f t="shared" si="2"/>
        <v>15862.831627468851</v>
      </c>
      <c r="AD13" s="40">
        <f>1632.4+837.6+1779.7</f>
        <v>4249.7</v>
      </c>
      <c r="AE13" s="40">
        <v>1015.3</v>
      </c>
      <c r="AF13" s="49">
        <f>SUM(AA13:AE13)</f>
        <v>24951.9</v>
      </c>
      <c r="AG13" s="128"/>
    </row>
    <row r="14" spans="1:33" ht="14.25">
      <c r="A14" s="41"/>
      <c r="B14" s="42" t="s">
        <v>7</v>
      </c>
      <c r="C14" s="199">
        <f>ИБР!B14</f>
        <v>1785</v>
      </c>
      <c r="D14" s="7">
        <f>ИБР!U14</f>
        <v>1.316184854594936</v>
      </c>
      <c r="E14" s="34">
        <f>ИНП!M15</f>
        <v>0.8458120438518432</v>
      </c>
      <c r="F14" s="7">
        <f t="shared" si="3"/>
        <v>0.6426240515525056</v>
      </c>
      <c r="G14" s="47">
        <f t="shared" si="8"/>
        <v>2998.8538807680484</v>
      </c>
      <c r="H14" s="6"/>
      <c r="I14" s="7"/>
      <c r="J14" s="48">
        <f>(Параметры!$B$11/$C$16)*($I$16-F14)*D14*C14</f>
        <v>7611.852242468234</v>
      </c>
      <c r="K14" s="38">
        <f t="shared" si="4"/>
        <v>7611.852242468232</v>
      </c>
      <c r="L14" s="39">
        <f>((ИНП!E15+Итоговая!G14+Итоговая!K14)/Итоговая!C14)/(ИНП!$E$17/ИНП!$L$17)/Итоговая!D14</f>
        <v>2.474979342538475</v>
      </c>
      <c r="M14" s="43"/>
      <c r="N14" s="49"/>
      <c r="O14" s="43"/>
      <c r="P14" s="49"/>
      <c r="Q14" s="49"/>
      <c r="R14" s="38"/>
      <c r="S14" s="49"/>
      <c r="T14" s="49"/>
      <c r="U14" s="64"/>
      <c r="V14" s="200">
        <f t="shared" si="5"/>
        <v>10610.706123236281</v>
      </c>
      <c r="W14" s="40">
        <v>4427</v>
      </c>
      <c r="X14" s="40">
        <f>58457.8+1505</f>
        <v>59962.8</v>
      </c>
      <c r="Y14" s="49">
        <f t="shared" si="6"/>
        <v>221.35000000000002</v>
      </c>
      <c r="Z14" s="49">
        <f>X14-W14-Y14</f>
        <v>55314.450000000004</v>
      </c>
      <c r="AA14" s="49">
        <f t="shared" si="1"/>
        <v>2998.8538807680484</v>
      </c>
      <c r="AB14" s="49">
        <f>K14-0.1</f>
        <v>7611.752242468232</v>
      </c>
      <c r="AC14" s="49">
        <f>Z14-AA14-AB14-AD14-AE14-0.1</f>
        <v>38181.14387676373</v>
      </c>
      <c r="AD14" s="40">
        <f>1462.5+1256.7+1505</f>
        <v>4224.2</v>
      </c>
      <c r="AE14" s="40">
        <v>2298.4</v>
      </c>
      <c r="AF14" s="49">
        <f>SUM(AA14:AE14)+0.1</f>
        <v>55314.45000000001</v>
      </c>
      <c r="AG14" s="128"/>
    </row>
    <row r="15" spans="1:33" ht="14.25">
      <c r="A15" s="41"/>
      <c r="B15" s="42" t="s">
        <v>11</v>
      </c>
      <c r="C15" s="199">
        <f>ИБР!B15</f>
        <v>1985</v>
      </c>
      <c r="D15" s="7">
        <f>ИБР!U15</f>
        <v>1.256156011581297</v>
      </c>
      <c r="E15" s="34">
        <f>ИНП!M16</f>
        <v>0.6918665447901278</v>
      </c>
      <c r="F15" s="7">
        <f>E15/D15</f>
        <v>0.5507807457126124</v>
      </c>
      <c r="G15" s="47">
        <f t="shared" si="8"/>
        <v>3334.859917828894</v>
      </c>
      <c r="H15" s="6"/>
      <c r="I15" s="7"/>
      <c r="J15" s="48">
        <f>(Параметры!$B$11/$C$16)*($I$16-F15)*D15*C15</f>
        <v>8624.145591389735</v>
      </c>
      <c r="K15" s="38">
        <f>$K$16*J15/$J$16+0.075</f>
        <v>8624.220591389732</v>
      </c>
      <c r="L15" s="39">
        <f>((ИНП!E16+Итоговая!G15+Итоговая!K15)/Итоговая!C15)/(ИНП!$E$17/ИНП!$L$17)/Итоговая!D15</f>
        <v>2.496652468896459</v>
      </c>
      <c r="M15" s="43"/>
      <c r="N15" s="49"/>
      <c r="O15" s="43"/>
      <c r="P15" s="49"/>
      <c r="Q15" s="49"/>
      <c r="R15" s="38"/>
      <c r="S15" s="49"/>
      <c r="T15" s="49"/>
      <c r="U15" s="64"/>
      <c r="V15" s="200">
        <f t="shared" si="5"/>
        <v>11959.080509218627</v>
      </c>
      <c r="W15" s="40">
        <v>4736</v>
      </c>
      <c r="X15" s="40">
        <f>70068.4+10758.7</f>
        <v>80827.09999999999</v>
      </c>
      <c r="Y15" s="49">
        <f t="shared" si="6"/>
        <v>236.8</v>
      </c>
      <c r="Z15" s="49">
        <f t="shared" si="0"/>
        <v>75854.29999999999</v>
      </c>
      <c r="AA15" s="49">
        <f>G15</f>
        <v>3334.859917828894</v>
      </c>
      <c r="AB15" s="49">
        <f t="shared" si="7"/>
        <v>8624.220591389732</v>
      </c>
      <c r="AC15" s="49">
        <f>Z15-AA15-AB15-AD15-AE15</f>
        <v>41479.51949078136</v>
      </c>
      <c r="AD15" s="40">
        <f>5694.9+1357.5+10758.7</f>
        <v>17811.1</v>
      </c>
      <c r="AE15" s="40">
        <v>4604.6</v>
      </c>
      <c r="AF15" s="49">
        <f>SUM(AA15:AE15)-0.1</f>
        <v>75854.19999999998</v>
      </c>
      <c r="AG15" s="128"/>
    </row>
    <row r="16" spans="1:33" ht="15.75" customHeight="1">
      <c r="A16" s="41"/>
      <c r="B16" s="22" t="s">
        <v>13</v>
      </c>
      <c r="C16" s="201">
        <f>SUM(C8:C15)</f>
        <v>35513</v>
      </c>
      <c r="D16" s="44"/>
      <c r="E16" s="44"/>
      <c r="F16" s="44"/>
      <c r="G16" s="202">
        <f t="shared" si="8"/>
        <v>59662.91197070908</v>
      </c>
      <c r="H16" s="46"/>
      <c r="I16" s="44">
        <f>(Параметры!B11+K16)/Параметры!B11</f>
        <v>2.002826575245301</v>
      </c>
      <c r="J16" s="87">
        <f>SUM(J8:J15)</f>
        <v>84829.10000000003</v>
      </c>
      <c r="K16" s="88">
        <v>84829.1</v>
      </c>
      <c r="L16" s="89"/>
      <c r="M16" s="90"/>
      <c r="N16" s="88"/>
      <c r="O16" s="90"/>
      <c r="P16" s="88"/>
      <c r="Q16" s="88"/>
      <c r="R16" s="91"/>
      <c r="S16" s="88"/>
      <c r="T16" s="88"/>
      <c r="U16" s="92"/>
      <c r="V16" s="203">
        <f>G16+K16</f>
        <v>144492.01197070908</v>
      </c>
      <c r="W16" s="88">
        <f aca="true" t="shared" si="9" ref="W16:AD16">SUM(W8:W15)</f>
        <v>121554</v>
      </c>
      <c r="X16" s="88">
        <f t="shared" si="9"/>
        <v>539252</v>
      </c>
      <c r="Y16" s="88">
        <f t="shared" si="9"/>
        <v>10196.800000000001</v>
      </c>
      <c r="Z16" s="88">
        <f>SUM(Z8:Z15)</f>
        <v>407501.20000000007</v>
      </c>
      <c r="AA16" s="88">
        <f>SUM(AA8:AA15)+0.2</f>
        <v>59662.911970709065</v>
      </c>
      <c r="AB16" s="88">
        <f>SUM(AB8:AB15)+0.1</f>
        <v>84829.07500000003</v>
      </c>
      <c r="AC16" s="88">
        <f>SUM(AC8:AC15)</f>
        <v>172849.21302929096</v>
      </c>
      <c r="AD16" s="88">
        <f t="shared" si="9"/>
        <v>70798.29999999999</v>
      </c>
      <c r="AE16" s="88">
        <f>SUM(AE8:AE15)</f>
        <v>19361.9</v>
      </c>
      <c r="AF16" s="88">
        <f>SUM(AF8:AF15)+0.2</f>
        <v>407501.10000000003</v>
      </c>
      <c r="AG16" s="128"/>
    </row>
    <row r="17" spans="1:32" ht="15" customHeight="1">
      <c r="A17" s="41"/>
      <c r="B17" s="42" t="s">
        <v>12</v>
      </c>
      <c r="C17" s="204">
        <f>ИБР!B17</f>
        <v>266</v>
      </c>
      <c r="D17" s="7"/>
      <c r="E17" s="7"/>
      <c r="F17" s="7"/>
      <c r="G17" s="47">
        <f t="shared" si="8"/>
        <v>446.88802929092486</v>
      </c>
      <c r="H17" s="47"/>
      <c r="I17" s="50"/>
      <c r="J17" s="51"/>
      <c r="K17" s="43"/>
      <c r="L17" s="43"/>
      <c r="M17" s="43"/>
      <c r="N17" s="43"/>
      <c r="O17" s="43"/>
      <c r="P17" s="43"/>
      <c r="Q17" s="43"/>
      <c r="R17" s="43"/>
      <c r="S17" s="43"/>
      <c r="T17" s="56"/>
      <c r="U17" s="65"/>
      <c r="V17" s="200"/>
      <c r="W17" s="49"/>
      <c r="X17" s="49"/>
      <c r="Y17" s="49"/>
      <c r="Z17" s="49"/>
      <c r="AA17" s="205">
        <f>AA16+AB16+0.1</f>
        <v>144492.0869707091</v>
      </c>
      <c r="AB17" s="206"/>
      <c r="AC17" s="205">
        <f>AC16+AD16</f>
        <v>243647.51302929095</v>
      </c>
      <c r="AD17" s="206"/>
      <c r="AE17" s="207"/>
      <c r="AF17" s="49"/>
    </row>
    <row r="18" spans="1:32" s="212" customFormat="1" ht="12.75">
      <c r="A18" s="26"/>
      <c r="B18" s="22" t="s">
        <v>14</v>
      </c>
      <c r="C18" s="208">
        <f>C16+C17</f>
        <v>35779</v>
      </c>
      <c r="D18" s="7"/>
      <c r="E18" s="52"/>
      <c r="F18" s="26"/>
      <c r="G18" s="24">
        <v>60109.8</v>
      </c>
      <c r="H18" s="53"/>
      <c r="I18" s="26"/>
      <c r="J18" s="24"/>
      <c r="K18" s="28"/>
      <c r="L18" s="28"/>
      <c r="M18" s="54"/>
      <c r="N18" s="54"/>
      <c r="O18" s="54"/>
      <c r="P18" s="54"/>
      <c r="Q18" s="55"/>
      <c r="R18" s="54"/>
      <c r="S18" s="54"/>
      <c r="T18" s="57"/>
      <c r="U18" s="66"/>
      <c r="V18" s="200"/>
      <c r="W18" s="209"/>
      <c r="X18" s="209"/>
      <c r="Y18" s="209"/>
      <c r="Z18" s="209"/>
      <c r="AA18" s="209"/>
      <c r="AB18" s="209"/>
      <c r="AC18" s="209"/>
      <c r="AD18" s="210"/>
      <c r="AE18" s="211"/>
      <c r="AF18" s="209"/>
    </row>
    <row r="19" spans="1:30" s="215" customFormat="1" ht="15.75" customHeight="1" hidden="1">
      <c r="A19" s="213"/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W19" s="215">
        <v>91581</v>
      </c>
      <c r="X19" s="215">
        <v>466961.6</v>
      </c>
      <c r="Y19" s="215">
        <v>9158</v>
      </c>
      <c r="Z19" s="215">
        <v>366222.5</v>
      </c>
      <c r="AA19" s="215">
        <v>10445.3</v>
      </c>
      <c r="AB19" s="215">
        <v>101985</v>
      </c>
      <c r="AC19" s="215">
        <v>110043</v>
      </c>
      <c r="AD19" s="215">
        <v>143749.6</v>
      </c>
    </row>
    <row r="20" ht="15" hidden="1">
      <c r="A20" s="36" t="s">
        <v>34</v>
      </c>
    </row>
    <row r="21" spans="16:21" ht="12.75" hidden="1">
      <c r="P21" s="216"/>
      <c r="Q21" s="141" t="s">
        <v>29</v>
      </c>
      <c r="R21" s="142"/>
      <c r="S21" s="142"/>
      <c r="T21" s="142"/>
      <c r="U21" s="143"/>
    </row>
    <row r="22" spans="16:21" ht="12.75" hidden="1">
      <c r="P22" s="217"/>
      <c r="Q22" s="144" t="s">
        <v>18</v>
      </c>
      <c r="R22" s="144" t="s">
        <v>17</v>
      </c>
      <c r="S22" s="144" t="s">
        <v>23</v>
      </c>
      <c r="T22" s="146" t="s">
        <v>38</v>
      </c>
      <c r="U22" s="136" t="s">
        <v>31</v>
      </c>
    </row>
    <row r="23" spans="16:21" ht="12.75" hidden="1">
      <c r="P23" s="218"/>
      <c r="Q23" s="145"/>
      <c r="R23" s="145"/>
      <c r="S23" s="145"/>
      <c r="T23" s="147"/>
      <c r="U23" s="136"/>
    </row>
    <row r="24" spans="16:21" ht="12.75" hidden="1">
      <c r="P24" s="42" t="s">
        <v>4</v>
      </c>
      <c r="Q24" s="43">
        <v>30619</v>
      </c>
      <c r="R24" s="59">
        <v>6217</v>
      </c>
      <c r="S24" s="43"/>
      <c r="T24" s="60"/>
      <c r="U24" s="43">
        <f>SUM(Q24:T24)</f>
        <v>36836</v>
      </c>
    </row>
    <row r="25" spans="16:21" ht="12.75" hidden="1">
      <c r="P25" s="42" t="s">
        <v>5</v>
      </c>
      <c r="Q25" s="43">
        <v>18904</v>
      </c>
      <c r="R25" s="59">
        <v>24781</v>
      </c>
      <c r="S25" s="43">
        <v>17189</v>
      </c>
      <c r="T25" s="43">
        <v>24839</v>
      </c>
      <c r="U25" s="43">
        <f aca="true" t="shared" si="10" ref="U25:U31">SUM(Q25:T25)</f>
        <v>85713</v>
      </c>
    </row>
    <row r="26" spans="16:21" ht="12.75" hidden="1">
      <c r="P26" s="42" t="s">
        <v>6</v>
      </c>
      <c r="Q26" s="43">
        <v>764</v>
      </c>
      <c r="R26" s="59">
        <v>5357</v>
      </c>
      <c r="S26" s="43">
        <v>12400</v>
      </c>
      <c r="T26" s="43">
        <v>9855</v>
      </c>
      <c r="U26" s="43">
        <f t="shared" si="10"/>
        <v>28376</v>
      </c>
    </row>
    <row r="27" spans="16:21" ht="12.75" hidden="1">
      <c r="P27" s="42" t="s">
        <v>8</v>
      </c>
      <c r="Q27" s="43">
        <v>1127</v>
      </c>
      <c r="R27" s="59">
        <v>4812</v>
      </c>
      <c r="S27" s="43">
        <v>9574</v>
      </c>
      <c r="T27" s="43">
        <v>10045</v>
      </c>
      <c r="U27" s="43">
        <f t="shared" si="10"/>
        <v>25558</v>
      </c>
    </row>
    <row r="28" spans="16:21" ht="12.75" hidden="1">
      <c r="P28" s="42" t="s">
        <v>9</v>
      </c>
      <c r="Q28" s="43">
        <v>895</v>
      </c>
      <c r="R28" s="59">
        <v>88</v>
      </c>
      <c r="S28" s="43">
        <v>8062</v>
      </c>
      <c r="T28" s="43">
        <v>5435</v>
      </c>
      <c r="U28" s="43">
        <f t="shared" si="10"/>
        <v>14480</v>
      </c>
    </row>
    <row r="29" spans="16:21" ht="12.75" hidden="1">
      <c r="P29" s="42" t="s">
        <v>10</v>
      </c>
      <c r="Q29" s="43">
        <v>1018</v>
      </c>
      <c r="R29" s="59">
        <v>3847</v>
      </c>
      <c r="S29" s="43">
        <v>9376</v>
      </c>
      <c r="T29" s="43">
        <v>10759</v>
      </c>
      <c r="U29" s="43">
        <f t="shared" si="10"/>
        <v>25000</v>
      </c>
    </row>
    <row r="30" spans="16:21" ht="12.75" hidden="1">
      <c r="P30" s="42" t="s">
        <v>7</v>
      </c>
      <c r="Q30" s="43">
        <v>3026</v>
      </c>
      <c r="R30" s="59">
        <v>6232</v>
      </c>
      <c r="S30" s="43">
        <v>32843</v>
      </c>
      <c r="T30" s="43">
        <v>19035</v>
      </c>
      <c r="U30" s="43">
        <f t="shared" si="10"/>
        <v>61136</v>
      </c>
    </row>
    <row r="31" spans="16:21" ht="12.75" hidden="1">
      <c r="P31" s="42" t="s">
        <v>11</v>
      </c>
      <c r="Q31" s="43">
        <v>3686</v>
      </c>
      <c r="R31" s="59">
        <v>6606</v>
      </c>
      <c r="S31" s="43">
        <v>27609</v>
      </c>
      <c r="T31" s="43">
        <v>28913</v>
      </c>
      <c r="U31" s="43">
        <f t="shared" si="10"/>
        <v>66814</v>
      </c>
    </row>
    <row r="32" spans="16:21" ht="12.75" hidden="1">
      <c r="P32" s="22" t="s">
        <v>13</v>
      </c>
      <c r="Q32" s="59">
        <f>SUM(Q24:Q31)</f>
        <v>60039</v>
      </c>
      <c r="R32" s="59">
        <f>SUM(R24:R31)</f>
        <v>57940</v>
      </c>
      <c r="S32" s="59">
        <f>SUM(S24:S31)</f>
        <v>117053</v>
      </c>
      <c r="T32" s="59">
        <f>SUM(T24:T31)</f>
        <v>108881</v>
      </c>
      <c r="U32" s="59">
        <f>SUM(U24:U31)</f>
        <v>343913</v>
      </c>
    </row>
    <row r="33" spans="16:21" ht="12.75" hidden="1">
      <c r="P33" s="42" t="s">
        <v>12</v>
      </c>
      <c r="Q33" s="49">
        <v>296</v>
      </c>
      <c r="R33" s="43"/>
      <c r="S33" s="43"/>
      <c r="T33" s="43"/>
      <c r="U33" s="43"/>
    </row>
    <row r="34" spans="16:21" ht="12.75" hidden="1">
      <c r="P34" s="22" t="s">
        <v>14</v>
      </c>
      <c r="Q34" s="61">
        <f>Q32+Q33</f>
        <v>60335</v>
      </c>
      <c r="R34" s="54"/>
      <c r="S34" s="54"/>
      <c r="T34" s="57">
        <v>15386</v>
      </c>
      <c r="U34" s="54"/>
    </row>
    <row r="35" ht="12.75" hidden="1"/>
    <row r="36" spans="23:32" ht="12.75" hidden="1">
      <c r="W36" s="128">
        <f aca="true" t="shared" si="11" ref="W36:AD36">W16-W19</f>
        <v>29973</v>
      </c>
      <c r="X36" s="128">
        <f t="shared" si="11"/>
        <v>72290.40000000002</v>
      </c>
      <c r="Y36" s="128">
        <f t="shared" si="11"/>
        <v>1038.800000000001</v>
      </c>
      <c r="Z36" s="128">
        <f t="shared" si="11"/>
        <v>41278.70000000007</v>
      </c>
      <c r="AA36" s="128">
        <f t="shared" si="11"/>
        <v>49217.61197070907</v>
      </c>
      <c r="AB36" s="128">
        <f t="shared" si="11"/>
        <v>-17155.924999999974</v>
      </c>
      <c r="AC36" s="128">
        <f t="shared" si="11"/>
        <v>62806.21302929096</v>
      </c>
      <c r="AD36" s="128">
        <f t="shared" si="11"/>
        <v>-72951.30000000002</v>
      </c>
      <c r="AE36" s="128"/>
      <c r="AF36" s="128"/>
    </row>
    <row r="37" spans="7:10" ht="12.75" hidden="1">
      <c r="G37" s="219"/>
      <c r="J37" s="220"/>
    </row>
    <row r="38" spans="3:10" ht="12.75" hidden="1">
      <c r="C38" s="221"/>
      <c r="G38" s="219"/>
      <c r="J38" s="220"/>
    </row>
    <row r="39" spans="7:10" ht="12.75" hidden="1">
      <c r="G39" s="219"/>
      <c r="J39" s="220"/>
    </row>
    <row r="40" spans="7:30" ht="12.75" hidden="1">
      <c r="G40" s="219"/>
      <c r="J40" s="220"/>
      <c r="V40" s="11" t="s">
        <v>106</v>
      </c>
      <c r="AD40" s="11">
        <v>1226.7</v>
      </c>
    </row>
    <row r="41" spans="7:31" ht="12.75" hidden="1">
      <c r="G41" s="219"/>
      <c r="J41" s="220"/>
      <c r="AB41" s="11" t="s">
        <v>99</v>
      </c>
      <c r="AD41" s="128">
        <f>AD16+AD40</f>
        <v>72024.99999999999</v>
      </c>
      <c r="AE41" s="128"/>
    </row>
    <row r="42" spans="7:10" ht="12.75" hidden="1">
      <c r="G42" s="219"/>
      <c r="J42" s="220"/>
    </row>
    <row r="43" spans="7:10" ht="12.75" hidden="1">
      <c r="G43" s="219"/>
      <c r="J43" s="220"/>
    </row>
    <row r="44" spans="7:10" ht="12.75">
      <c r="G44" s="219"/>
      <c r="J44" s="220"/>
    </row>
    <row r="45" spans="22:26" ht="12.75">
      <c r="V45" s="222" t="e">
        <f>SUM(#REF!)</f>
        <v>#REF!</v>
      </c>
      <c r="W45" s="223"/>
      <c r="X45" s="223"/>
      <c r="Y45" s="223"/>
      <c r="Z45" s="223"/>
    </row>
    <row r="46" spans="22:29" ht="12.75">
      <c r="V46" s="223"/>
      <c r="W46" s="223"/>
      <c r="X46" s="223"/>
      <c r="Y46" s="223"/>
      <c r="Z46" s="223"/>
      <c r="AC46" s="128"/>
    </row>
    <row r="47" ht="12.75"/>
    <row r="48" ht="12.75"/>
    <row r="49" ht="12.75">
      <c r="AD49" s="128"/>
    </row>
    <row r="54" ht="12.75"/>
    <row r="55" ht="12.75"/>
    <row r="56" ht="12.75"/>
  </sheetData>
  <sheetProtection/>
  <mergeCells count="45">
    <mergeCell ref="AE5:AE6"/>
    <mergeCell ref="AD18:AE18"/>
    <mergeCell ref="AC17:AD17"/>
    <mergeCell ref="V4:V6"/>
    <mergeCell ref="X4:X6"/>
    <mergeCell ref="W4:W6"/>
    <mergeCell ref="Y4:Y6"/>
    <mergeCell ref="Z4:Z6"/>
    <mergeCell ref="AA5:AA6"/>
    <mergeCell ref="AA17:AB17"/>
    <mergeCell ref="Q4:U4"/>
    <mergeCell ref="L4:L6"/>
    <mergeCell ref="J4:J6"/>
    <mergeCell ref="O4:O6"/>
    <mergeCell ref="M4:M6"/>
    <mergeCell ref="AA4:AF4"/>
    <mergeCell ref="AC5:AC6"/>
    <mergeCell ref="AD5:AD6"/>
    <mergeCell ref="AF5:AF6"/>
    <mergeCell ref="AB5:AB6"/>
    <mergeCell ref="C19:U19"/>
    <mergeCell ref="S5:S6"/>
    <mergeCell ref="F4:F6"/>
    <mergeCell ref="T5:T6"/>
    <mergeCell ref="G4:G6"/>
    <mergeCell ref="K4:K6"/>
    <mergeCell ref="E4:E6"/>
    <mergeCell ref="U5:U6"/>
    <mergeCell ref="Q5:Q6"/>
    <mergeCell ref="R5:R6"/>
    <mergeCell ref="A4:A6"/>
    <mergeCell ref="B4:B6"/>
    <mergeCell ref="C4:C6"/>
    <mergeCell ref="D4:D6"/>
    <mergeCell ref="N4:N6"/>
    <mergeCell ref="P4:P6"/>
    <mergeCell ref="H4:H6"/>
    <mergeCell ref="I4:I6"/>
    <mergeCell ref="P21:P23"/>
    <mergeCell ref="Q21:U21"/>
    <mergeCell ref="Q22:Q23"/>
    <mergeCell ref="R22:R23"/>
    <mergeCell ref="S22:S23"/>
    <mergeCell ref="T22:T23"/>
    <mergeCell ref="U22:U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2015-10-10T09:25:16Z</cp:lastPrinted>
  <dcterms:created xsi:type="dcterms:W3CDTF">2004-06-18T05:29:07Z</dcterms:created>
  <dcterms:modified xsi:type="dcterms:W3CDTF">2015-10-10T09:25:32Z</dcterms:modified>
  <cp:category/>
  <cp:version/>
  <cp:contentType/>
  <cp:contentStatus/>
</cp:coreProperties>
</file>